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7400" windowHeight="7710" activeTab="1"/>
  </bookViews>
  <sheets>
    <sheet name="POA 2018INICIAL (2)" sheetId="7" r:id="rId1"/>
    <sheet name="POA 2018FINAL" sheetId="3" r:id="rId2"/>
    <sheet name="INVERSION POR CANTONES" sheetId="4" r:id="rId3"/>
    <sheet name="PRIORIZACION" sheetId="6" r:id="rId4"/>
  </sheets>
  <externalReferences>
    <externalReference r:id="rId5"/>
  </externalReferences>
  <definedNames>
    <definedName name="_xlnm.Print_Area" localSheetId="1">'POA 2018FINAL'!$A$1:$S$58</definedName>
    <definedName name="_xlnm.Print_Area" localSheetId="0">'POA 2018INICIAL (2)'!$A$1:$S$94</definedName>
    <definedName name="_xlnm.Print_Titles" localSheetId="1">'POA 2018FINAL'!$1:$4</definedName>
    <definedName name="_xlnm.Print_Titles" localSheetId="0">'POA 2018INICIAL (2)'!$1:$4</definedName>
  </definedNames>
  <calcPr calcId="124519"/>
</workbook>
</file>

<file path=xl/calcChain.xml><?xml version="1.0" encoding="utf-8"?>
<calcChain xmlns="http://schemas.openxmlformats.org/spreadsheetml/2006/main">
  <c r="T50" i="3"/>
  <c r="J50"/>
  <c r="K50"/>
  <c r="L50"/>
  <c r="M50"/>
  <c r="N50"/>
  <c r="O50"/>
  <c r="J45"/>
  <c r="K45"/>
  <c r="L45"/>
  <c r="M45"/>
  <c r="N45"/>
  <c r="O45"/>
  <c r="J43"/>
  <c r="K43"/>
  <c r="L43"/>
  <c r="M43"/>
  <c r="N43"/>
  <c r="O43"/>
  <c r="J42"/>
  <c r="K42"/>
  <c r="L42"/>
  <c r="M42"/>
  <c r="N42"/>
  <c r="O42"/>
  <c r="O37"/>
  <c r="J37"/>
  <c r="K37"/>
  <c r="L37"/>
  <c r="M37"/>
  <c r="N37"/>
  <c r="J33"/>
  <c r="K33"/>
  <c r="L33"/>
  <c r="M33"/>
  <c r="N33"/>
  <c r="O33"/>
  <c r="J26"/>
  <c r="K26"/>
  <c r="L26"/>
  <c r="M26"/>
  <c r="N26"/>
  <c r="O26"/>
  <c r="J18"/>
  <c r="K18"/>
  <c r="L18"/>
  <c r="M18"/>
  <c r="N18"/>
  <c r="O18"/>
  <c r="J15"/>
  <c r="K15"/>
  <c r="L15"/>
  <c r="M15"/>
  <c r="N15"/>
  <c r="N53" s="1"/>
  <c r="O15"/>
  <c r="O56"/>
  <c r="N56"/>
  <c r="M56"/>
  <c r="M54"/>
  <c r="O51"/>
  <c r="N51"/>
  <c r="M51"/>
  <c r="O47"/>
  <c r="O48"/>
  <c r="O49"/>
  <c r="O46"/>
  <c r="N49"/>
  <c r="N48"/>
  <c r="N47"/>
  <c r="N46"/>
  <c r="M49"/>
  <c r="M48"/>
  <c r="M47"/>
  <c r="M46"/>
  <c r="N44"/>
  <c r="M44"/>
  <c r="M53"/>
  <c r="O53"/>
  <c r="N39"/>
  <c r="O39" s="1"/>
  <c r="N40"/>
  <c r="O40" s="1"/>
  <c r="N41"/>
  <c r="O41" s="1"/>
  <c r="O38"/>
  <c r="N38"/>
  <c r="N35"/>
  <c r="O35" s="1"/>
  <c r="N36"/>
  <c r="O36" s="1"/>
  <c r="O34"/>
  <c r="N34"/>
  <c r="N28"/>
  <c r="O28" s="1"/>
  <c r="N29"/>
  <c r="O29" s="1"/>
  <c r="N30"/>
  <c r="O30" s="1"/>
  <c r="N31"/>
  <c r="O31" s="1"/>
  <c r="N32"/>
  <c r="O32" s="1"/>
  <c r="O27"/>
  <c r="N27"/>
  <c r="N20"/>
  <c r="O20" s="1"/>
  <c r="N21"/>
  <c r="O21" s="1"/>
  <c r="N22"/>
  <c r="O22" s="1"/>
  <c r="N23"/>
  <c r="O23" s="1"/>
  <c r="N24"/>
  <c r="O24" s="1"/>
  <c r="N25"/>
  <c r="O25" s="1"/>
  <c r="O19"/>
  <c r="N19"/>
  <c r="O17"/>
  <c r="O16"/>
  <c r="N17"/>
  <c r="N16"/>
  <c r="O6"/>
  <c r="O7"/>
  <c r="O8"/>
  <c r="O9"/>
  <c r="O10"/>
  <c r="O11"/>
  <c r="O12"/>
  <c r="O13"/>
  <c r="O14"/>
  <c r="N6"/>
  <c r="N7"/>
  <c r="N8"/>
  <c r="N9"/>
  <c r="N10"/>
  <c r="N11"/>
  <c r="N12"/>
  <c r="N13"/>
  <c r="N14"/>
  <c r="O5"/>
  <c r="N5"/>
  <c r="K57"/>
  <c r="L57"/>
  <c r="M57"/>
  <c r="N57"/>
  <c r="O57"/>
  <c r="K55"/>
  <c r="L55"/>
  <c r="M55"/>
  <c r="N55"/>
  <c r="O55"/>
  <c r="O93" i="7"/>
  <c r="N93"/>
  <c r="M93"/>
  <c r="L93"/>
  <c r="K93"/>
  <c r="J93"/>
  <c r="I93"/>
  <c r="N89"/>
  <c r="M89"/>
  <c r="L89"/>
  <c r="K89"/>
  <c r="J89"/>
  <c r="I89"/>
  <c r="Q88"/>
  <c r="P88"/>
  <c r="O88"/>
  <c r="S88" s="1"/>
  <c r="I88"/>
  <c r="R88" s="1"/>
  <c r="S87"/>
  <c r="R87"/>
  <c r="Q87"/>
  <c r="P87"/>
  <c r="N87"/>
  <c r="M87"/>
  <c r="L87"/>
  <c r="K87"/>
  <c r="J87"/>
  <c r="I87"/>
  <c r="O86"/>
  <c r="O87" s="1"/>
  <c r="I86"/>
  <c r="K85"/>
  <c r="N84"/>
  <c r="M84"/>
  <c r="L84"/>
  <c r="K84"/>
  <c r="J84"/>
  <c r="I84"/>
  <c r="P83"/>
  <c r="O83"/>
  <c r="O84" s="1"/>
  <c r="O85" s="1"/>
  <c r="I83"/>
  <c r="Q83" s="1"/>
  <c r="O82"/>
  <c r="N82"/>
  <c r="N85" s="1"/>
  <c r="M82"/>
  <c r="L82"/>
  <c r="K82"/>
  <c r="J82"/>
  <c r="J85" s="1"/>
  <c r="I81"/>
  <c r="I80"/>
  <c r="I79"/>
  <c r="I78"/>
  <c r="I82" s="1"/>
  <c r="O77"/>
  <c r="N77"/>
  <c r="M77"/>
  <c r="M85" s="1"/>
  <c r="L77"/>
  <c r="L85" s="1"/>
  <c r="K77"/>
  <c r="J77"/>
  <c r="I76"/>
  <c r="R76" s="1"/>
  <c r="N74"/>
  <c r="M74"/>
  <c r="L74"/>
  <c r="K74"/>
  <c r="J74"/>
  <c r="I73"/>
  <c r="O73" s="1"/>
  <c r="O72"/>
  <c r="I72"/>
  <c r="I71"/>
  <c r="O71" s="1"/>
  <c r="O70"/>
  <c r="O74" s="1"/>
  <c r="I70"/>
  <c r="I74" s="1"/>
  <c r="N69"/>
  <c r="M69"/>
  <c r="L69"/>
  <c r="K69"/>
  <c r="J69"/>
  <c r="I68"/>
  <c r="O68" s="1"/>
  <c r="I67"/>
  <c r="I69" s="1"/>
  <c r="I66"/>
  <c r="O66" s="1"/>
  <c r="N65"/>
  <c r="M65"/>
  <c r="L65"/>
  <c r="K65"/>
  <c r="J65"/>
  <c r="I64"/>
  <c r="O64" s="1"/>
  <c r="O63"/>
  <c r="I63"/>
  <c r="I62"/>
  <c r="O62" s="1"/>
  <c r="O61"/>
  <c r="I61"/>
  <c r="I60"/>
  <c r="O60" s="1"/>
  <c r="O59"/>
  <c r="I59"/>
  <c r="I65" s="1"/>
  <c r="N58"/>
  <c r="M58"/>
  <c r="L58"/>
  <c r="K58"/>
  <c r="J58"/>
  <c r="I57"/>
  <c r="O57" s="1"/>
  <c r="O56"/>
  <c r="I56"/>
  <c r="I55"/>
  <c r="O55" s="1"/>
  <c r="O54"/>
  <c r="I54"/>
  <c r="O53"/>
  <c r="I53"/>
  <c r="O52"/>
  <c r="I52"/>
  <c r="I58" s="1"/>
  <c r="O51"/>
  <c r="O58" s="1"/>
  <c r="I51"/>
  <c r="N50"/>
  <c r="M50"/>
  <c r="L50"/>
  <c r="K50"/>
  <c r="J50"/>
  <c r="I49"/>
  <c r="O49" s="1"/>
  <c r="O48"/>
  <c r="O50" s="1"/>
  <c r="J48"/>
  <c r="I48"/>
  <c r="I50" s="1"/>
  <c r="N47"/>
  <c r="N75" s="1"/>
  <c r="M47"/>
  <c r="M75" s="1"/>
  <c r="L47"/>
  <c r="L75" s="1"/>
  <c r="K47"/>
  <c r="K75" s="1"/>
  <c r="J47"/>
  <c r="J75" s="1"/>
  <c r="I46"/>
  <c r="O46" s="1"/>
  <c r="O45"/>
  <c r="I45"/>
  <c r="I44"/>
  <c r="O44" s="1"/>
  <c r="O43"/>
  <c r="I43"/>
  <c r="I42"/>
  <c r="O42" s="1"/>
  <c r="O41"/>
  <c r="I41"/>
  <c r="I40"/>
  <c r="O40" s="1"/>
  <c r="O39"/>
  <c r="I39"/>
  <c r="I38"/>
  <c r="O38" s="1"/>
  <c r="O37"/>
  <c r="I37"/>
  <c r="I47" s="1"/>
  <c r="I75" s="1"/>
  <c r="M35"/>
  <c r="J35"/>
  <c r="N34"/>
  <c r="M34"/>
  <c r="L34"/>
  <c r="K34"/>
  <c r="J34"/>
  <c r="I33"/>
  <c r="O33" s="1"/>
  <c r="O34" s="1"/>
  <c r="I32"/>
  <c r="L31"/>
  <c r="I31"/>
  <c r="I34" s="1"/>
  <c r="M30"/>
  <c r="L30"/>
  <c r="L35" s="1"/>
  <c r="K30"/>
  <c r="K35" s="1"/>
  <c r="J30"/>
  <c r="I29"/>
  <c r="N29" s="1"/>
  <c r="N30" s="1"/>
  <c r="N35" s="1"/>
  <c r="I28"/>
  <c r="I30" s="1"/>
  <c r="I35" s="1"/>
  <c r="N26"/>
  <c r="M26"/>
  <c r="L26"/>
  <c r="K26"/>
  <c r="J26"/>
  <c r="I25"/>
  <c r="O25" s="1"/>
  <c r="O24"/>
  <c r="I24"/>
  <c r="I23"/>
  <c r="O23" s="1"/>
  <c r="O22"/>
  <c r="O26" s="1"/>
  <c r="I22"/>
  <c r="I26" s="1"/>
  <c r="N21"/>
  <c r="M21"/>
  <c r="L21"/>
  <c r="K21"/>
  <c r="J21"/>
  <c r="O20"/>
  <c r="I20"/>
  <c r="I19"/>
  <c r="O19" s="1"/>
  <c r="O18"/>
  <c r="I18"/>
  <c r="I17"/>
  <c r="I21" s="1"/>
  <c r="O16"/>
  <c r="I16"/>
  <c r="N15"/>
  <c r="M15"/>
  <c r="L15"/>
  <c r="K15"/>
  <c r="J15"/>
  <c r="I14"/>
  <c r="O14" s="1"/>
  <c r="O13"/>
  <c r="I13"/>
  <c r="I15" s="1"/>
  <c r="I12"/>
  <c r="O12" s="1"/>
  <c r="O11"/>
  <c r="N11"/>
  <c r="N27" s="1"/>
  <c r="N36" s="1"/>
  <c r="M11"/>
  <c r="M27" s="1"/>
  <c r="M36" s="1"/>
  <c r="L11"/>
  <c r="L27" s="1"/>
  <c r="L36" s="1"/>
  <c r="K11"/>
  <c r="K27" s="1"/>
  <c r="K36" s="1"/>
  <c r="J11"/>
  <c r="J27" s="1"/>
  <c r="J36" s="1"/>
  <c r="O10"/>
  <c r="I10"/>
  <c r="O9"/>
  <c r="I9"/>
  <c r="O8"/>
  <c r="I8"/>
  <c r="O7"/>
  <c r="I7"/>
  <c r="I11" s="1"/>
  <c r="I27" s="1"/>
  <c r="I36" s="1"/>
  <c r="N6"/>
  <c r="N94" s="1"/>
  <c r="M6"/>
  <c r="L6"/>
  <c r="L94" s="1"/>
  <c r="K6"/>
  <c r="K94" s="1"/>
  <c r="J6"/>
  <c r="I6"/>
  <c r="I5"/>
  <c r="O5" s="1"/>
  <c r="O6" s="1"/>
  <c r="I49" i="3"/>
  <c r="J55"/>
  <c r="L53" l="1"/>
  <c r="L58" s="1"/>
  <c r="T53"/>
  <c r="J94" i="7"/>
  <c r="K95" s="1"/>
  <c r="M94"/>
  <c r="O15"/>
  <c r="O47"/>
  <c r="O65"/>
  <c r="O28"/>
  <c r="O30" s="1"/>
  <c r="O35" s="1"/>
  <c r="Q76"/>
  <c r="R83"/>
  <c r="O89"/>
  <c r="O17"/>
  <c r="O21" s="1"/>
  <c r="O27" s="1"/>
  <c r="O36" s="1"/>
  <c r="O94" s="1"/>
  <c r="O95" s="1"/>
  <c r="P76"/>
  <c r="O67"/>
  <c r="O69" s="1"/>
  <c r="I77"/>
  <c r="I85" s="1"/>
  <c r="I94" s="1"/>
  <c r="O75" l="1"/>
  <c r="J57" i="3"/>
  <c r="I48"/>
  <c r="I25"/>
  <c r="I22"/>
  <c r="O52" l="1"/>
  <c r="J16"/>
  <c r="G26" i="4"/>
  <c r="F26"/>
  <c r="E26"/>
  <c r="D26"/>
  <c r="C26"/>
  <c r="B26"/>
  <c r="A26"/>
  <c r="A25"/>
  <c r="A24"/>
  <c r="A23"/>
  <c r="A22"/>
  <c r="A21"/>
  <c r="A20"/>
  <c r="G19"/>
  <c r="F19"/>
  <c r="E19"/>
  <c r="D19"/>
  <c r="C19"/>
  <c r="B19"/>
  <c r="A19"/>
  <c r="G18"/>
  <c r="F18"/>
  <c r="E18"/>
  <c r="D18"/>
  <c r="C18"/>
  <c r="B18"/>
  <c r="A18"/>
  <c r="A17"/>
  <c r="A16"/>
  <c r="G13"/>
  <c r="F13"/>
  <c r="E13"/>
  <c r="D13"/>
  <c r="C13"/>
  <c r="B13"/>
  <c r="A13"/>
  <c r="J52" i="3"/>
  <c r="K52"/>
  <c r="L52"/>
  <c r="M52"/>
  <c r="M58" s="1"/>
  <c r="N52"/>
  <c r="I56"/>
  <c r="G23" i="4"/>
  <c r="H23" s="1"/>
  <c r="G17"/>
  <c r="G12"/>
  <c r="F12"/>
  <c r="I47" i="3"/>
  <c r="D36" i="6"/>
  <c r="D35"/>
  <c r="D34"/>
  <c r="D33"/>
  <c r="D41"/>
  <c r="D40"/>
  <c r="D39"/>
  <c r="D38"/>
  <c r="H29" i="4"/>
  <c r="J62" i="6"/>
  <c r="J61"/>
  <c r="H59"/>
  <c r="H58"/>
  <c r="H57"/>
  <c r="H56"/>
  <c r="H54"/>
  <c r="H53"/>
  <c r="H52"/>
  <c r="H51"/>
  <c r="A15"/>
  <c r="J20"/>
  <c r="L20"/>
  <c r="F49"/>
  <c r="F48"/>
  <c r="F45"/>
  <c r="F43"/>
  <c r="F20" s="1"/>
  <c r="D31"/>
  <c r="D20"/>
  <c r="B25"/>
  <c r="B23"/>
  <c r="B22"/>
  <c r="B20"/>
  <c r="H20"/>
  <c r="A14"/>
  <c r="A13"/>
  <c r="A12"/>
  <c r="A11"/>
  <c r="A10"/>
  <c r="A9"/>
  <c r="A8"/>
  <c r="A7"/>
  <c r="A6"/>
  <c r="H9" i="4"/>
  <c r="A15"/>
  <c r="A14"/>
  <c r="A12"/>
  <c r="A11"/>
  <c r="A7"/>
  <c r="A10"/>
  <c r="A9"/>
  <c r="A8"/>
  <c r="A6"/>
  <c r="I5" i="3"/>
  <c r="I51"/>
  <c r="I46"/>
  <c r="I50" s="1"/>
  <c r="I44"/>
  <c r="I41"/>
  <c r="I40"/>
  <c r="I39"/>
  <c r="I38"/>
  <c r="I36"/>
  <c r="I35"/>
  <c r="I34"/>
  <c r="I32"/>
  <c r="I31"/>
  <c r="I30"/>
  <c r="I29"/>
  <c r="I28"/>
  <c r="I27"/>
  <c r="I24"/>
  <c r="I23"/>
  <c r="I21"/>
  <c r="I20"/>
  <c r="I19"/>
  <c r="I17"/>
  <c r="I16"/>
  <c r="I14"/>
  <c r="I13"/>
  <c r="I12"/>
  <c r="I11"/>
  <c r="I10"/>
  <c r="I9"/>
  <c r="I8"/>
  <c r="I7"/>
  <c r="I6"/>
  <c r="I54"/>
  <c r="I55" s="1"/>
  <c r="J53" l="1"/>
  <c r="J58" s="1"/>
  <c r="I52"/>
  <c r="P56"/>
  <c r="Q56"/>
  <c r="R56"/>
  <c r="K53"/>
  <c r="K58" s="1"/>
  <c r="E25" i="4"/>
  <c r="H25" s="1"/>
  <c r="B15" i="6"/>
  <c r="I18" i="3"/>
  <c r="D11" i="6" s="1"/>
  <c r="I15" i="3"/>
  <c r="F16" i="4"/>
  <c r="H16" s="1"/>
  <c r="N58" i="3"/>
  <c r="I45"/>
  <c r="B12" i="6" s="1"/>
  <c r="C6" i="4"/>
  <c r="I26" i="3"/>
  <c r="D10" i="4" s="1"/>
  <c r="I42" i="3"/>
  <c r="L11" i="6" s="1"/>
  <c r="D8"/>
  <c r="B7" i="4"/>
  <c r="E15"/>
  <c r="I33" i="3"/>
  <c r="E10" i="4" s="1"/>
  <c r="I37" i="3"/>
  <c r="F10" i="4" s="1"/>
  <c r="B10"/>
  <c r="B8" i="6"/>
  <c r="C10" i="4"/>
  <c r="F12" i="6"/>
  <c r="C11" i="4"/>
  <c r="B11"/>
  <c r="F11"/>
  <c r="D11"/>
  <c r="H15" i="6"/>
  <c r="B14" i="4"/>
  <c r="G14"/>
  <c r="L14" i="6"/>
  <c r="B14"/>
  <c r="B8" i="4"/>
  <c r="F13" i="6"/>
  <c r="B12" i="4"/>
  <c r="H12" s="1"/>
  <c r="I57" i="3"/>
  <c r="C17" i="4"/>
  <c r="F17"/>
  <c r="B21"/>
  <c r="H21" s="1"/>
  <c r="E24"/>
  <c r="H24" s="1"/>
  <c r="B6"/>
  <c r="D6"/>
  <c r="B17"/>
  <c r="E17"/>
  <c r="E6"/>
  <c r="B20"/>
  <c r="H20" s="1"/>
  <c r="G22"/>
  <c r="H22" s="1"/>
  <c r="H26"/>
  <c r="F6"/>
  <c r="D17"/>
  <c r="G6"/>
  <c r="H13"/>
  <c r="H18"/>
  <c r="I18" s="1"/>
  <c r="H19"/>
  <c r="J12" i="6" l="1"/>
  <c r="H12"/>
  <c r="O58" i="3"/>
  <c r="D12" i="4"/>
  <c r="D12" i="6"/>
  <c r="S56" i="3"/>
  <c r="B15" i="4"/>
  <c r="H15" s="1"/>
  <c r="J11" i="6"/>
  <c r="I43" i="3"/>
  <c r="I53" s="1"/>
  <c r="I58" s="1"/>
  <c r="E11" i="4"/>
  <c r="E28" s="1"/>
  <c r="F8"/>
  <c r="H8" s="1"/>
  <c r="C7"/>
  <c r="C28" s="1"/>
  <c r="G10"/>
  <c r="H10" s="1"/>
  <c r="J10" s="1"/>
  <c r="H11" i="6"/>
  <c r="H16" s="1"/>
  <c r="F11"/>
  <c r="B11"/>
  <c r="B16" s="1"/>
  <c r="J9"/>
  <c r="J16" s="1"/>
  <c r="H14" i="4"/>
  <c r="H17"/>
  <c r="I17" s="1"/>
  <c r="I20" s="1"/>
  <c r="D16" i="6"/>
  <c r="G7" i="4"/>
  <c r="L8" i="6"/>
  <c r="L16" s="1"/>
  <c r="B28" i="4"/>
  <c r="F8" i="6"/>
  <c r="D7" i="4"/>
  <c r="H6"/>
  <c r="F28" l="1"/>
  <c r="H11"/>
  <c r="G28"/>
  <c r="F16" i="6"/>
  <c r="K59" i="3"/>
  <c r="D28" i="4"/>
  <c r="H7"/>
  <c r="H28" l="1"/>
  <c r="C30" s="1"/>
  <c r="G30" l="1"/>
  <c r="B30"/>
  <c r="E30"/>
  <c r="D30"/>
  <c r="F30"/>
  <c r="O59" i="3"/>
  <c r="H30" i="4" l="1"/>
</calcChain>
</file>

<file path=xl/sharedStrings.xml><?xml version="1.0" encoding="utf-8"?>
<sst xmlns="http://schemas.openxmlformats.org/spreadsheetml/2006/main" count="587" uniqueCount="152">
  <si>
    <t>DIRECCIÓN DE GESTIÓN DE OBRAS PÚBLICAS Y VIALIDAD</t>
  </si>
  <si>
    <t>PROYECTOS</t>
  </si>
  <si>
    <t>COMPONENTES</t>
  </si>
  <si>
    <t>NECESIDAD PÚBLICA QUE SATISFACE</t>
  </si>
  <si>
    <t>METAS/ RESULTADOS</t>
  </si>
  <si>
    <t>INDICADORES DE GESTION INSTITUCIONAL</t>
  </si>
  <si>
    <t>GASTO ANUAL ($)</t>
  </si>
  <si>
    <t>FUENTES DE FINANCIAMIENTO</t>
  </si>
  <si>
    <t xml:space="preserve">CRONOGRAMA DE EJECUCIÓN PRESUPUESTARIA </t>
  </si>
  <si>
    <t>PARTIDA</t>
  </si>
  <si>
    <t>MONTO TOTAL</t>
  </si>
  <si>
    <t>GPC</t>
  </si>
  <si>
    <t xml:space="preserve">PANAMERICANA-JULIO ANDRADE-LIMITE PARROQUIAL-PANAMERICANA-LIMITE PARROQUIAL- EL MORAL-HASTA CAPILLA EL MORAL-ENTRADA CASA FRIA HASTA CAPILLA CASA FRIA-INTEROCEANICA-VIA CHAUCHIN-YALQUER-IPUERAN-SAN FRANCISCO DEL TROJE-INTEROCEANICA </t>
  </si>
  <si>
    <t>PANAMERICANA-SAN LUIS-PIOTER-SAN PEDRO-SAN FRANCISCO BELLAVISTA</t>
  </si>
  <si>
    <t>GUAGUA NEGRO-LA ESTRELLITA-FRAILEJON</t>
  </si>
  <si>
    <t>CUASPUD-GUANANGUICHO ALTO-SAN VICENTE-LIMITE PARROQUIAL  SANTA MARTHA DE CUBA</t>
  </si>
  <si>
    <t>FRAILEJON-LA ENVIDIA-CARTAGENA-FLORIDA ALTA EL CARMELO-ALJUN</t>
  </si>
  <si>
    <t>TETES-CHULAMUES-GUAMAG ALTO-GUAMAG BAJO</t>
  </si>
  <si>
    <t>QUINSHUL-LA ESPERANZA-CHICAL-RIO PABLO-UNTHAL-UNTHAL ALTO</t>
  </si>
  <si>
    <t>LA CALERA-MARISCAL SUCRE-EL TAMBO-LOMA EL CENTRO- EL PORVENIR EL TAMBO-LOMA EL CENTRO-Y GUANDERAS-EL PORVENIR-SOLFERINO</t>
  </si>
  <si>
    <t>PANAM.-EL EJIDO-PIARTAL-SAN PEDRO-SAN FRACO. PIARTAL</t>
  </si>
  <si>
    <t>PANAMERICANA-FERNANDEZ SALVADOR-EL TAMBO</t>
  </si>
  <si>
    <t>PUENTE DE PIQUIUCHO-CALDERA-EL ROSAL- RAFAEL-EL SIXAL-LIMITE PARROQUIAL MONTE OLIVO.</t>
  </si>
  <si>
    <t>LIMITE PARROQUIAL MONTE OLIVO- EL MANZANAL – MONTE OLIVO</t>
  </si>
  <si>
    <t>GARCIA MORENO-SAN  JOSE DE TINAJILLAS - YASCON -LIMITE EL TAMBO; GARCIA MORENO-PUEBLO VIEJO – PANAMERICANA - LAS LAJAS - PUEBLO VIEJO;</t>
  </si>
  <si>
    <t>PANAMERICANA-PUSIR GRANDE-TUMBATU Y CHOTA-SAN VICENTE DE PUSIR-LAS PARCELAS-DESVIO A TUMBATU-EL TAMBO</t>
  </si>
  <si>
    <t>LOS ANDES-SAN PABLO DE LA CANGAHUA-PANAMERICANA-PUENTE PIQUIUCHO-PANAMERICANA-EL IZAL-SAN FRANCISCO DE VILLACIS</t>
  </si>
  <si>
    <t>SAN ISIDRO-EL MORTIÑAL-CHITACASPI-CANAL DE RIEGO-PLANTACIONES- SAN ISIDRO-PUCHES-CARLIZAMA</t>
  </si>
  <si>
    <t>GUALCHAN-LIMITE PARROQUIAL-VIA GUALCHAN LAS JUNTAS-VIA CORAZON DE MUNDO NUEVO-GUAYABAL-VIA CORAZON DE MUNDO NUEVO-CHAUCHIN</t>
  </si>
  <si>
    <t>LA LIBERTAD-SANTA TERESITA-SAN FRANCISCO DE LA  LIBERTAD-JESUS DEL GRAN PODER-ELOY ALFARO-INGUEZA-LIMITE PARROQUIAL</t>
  </si>
  <si>
    <t>PUEBLO VIEJO-  HATO DE MIRA-SANTA ISABEL-SAN LUIS- VIA INTERCANTONAL</t>
  </si>
  <si>
    <t>MIRA -PISQUER-EL CABUYAL-JUAN MONTALVO-SANTIAGUILLO¨LA CONCEPCION-ESTACION CARCHI -PUENTE SOBRE EL RIO CARCHI</t>
  </si>
  <si>
    <t>MANTENER LAS VIAS ASFALTADAS EN BUEN ESTADO</t>
  </si>
  <si>
    <t>MEJORAR LA CALIDAD DE LA INFRAESTRUCTURA VIAL DE LA PROVINCIA</t>
  </si>
  <si>
    <t xml:space="preserve">EL CABUYAL-LA CONCEPCION-ESTACION CARCHI-PUENTE SOBRE EL RIO MIRA- LA CONCEPCION-LA CONVALECENCIA-EL MILAGRO-EL EMPEDRADILLO Y LA CHIRA-ESTACION CARCHI-TERCER PASO </t>
  </si>
  <si>
    <t>ACTIVIDADES</t>
  </si>
  <si>
    <t>PROGRAMAS</t>
  </si>
  <si>
    <t>ELABORAR LA FASE PRECONTRACTUAL, CONTRACTUAL Y EJECUCION</t>
  </si>
  <si>
    <t>GADS-BEDE</t>
  </si>
  <si>
    <t>EMPEDRADOS, RE EMPEDRADOS, OBRAS DE ARTE Y DRENAJE</t>
  </si>
  <si>
    <t>PUENTES</t>
  </si>
  <si>
    <t>CONSTRUCCIÒN  VIAL</t>
  </si>
  <si>
    <t>PLANIFICACION   VIAL</t>
  </si>
  <si>
    <t>MANTENIMIENTO VIAL</t>
  </si>
  <si>
    <t>MANTENIMIENTO RUTINARIO</t>
  </si>
  <si>
    <t xml:space="preserve">PANAMERICANA-URBINA-CUESTA LOMA TAYA HASTA ESC. MIGUEL DE SERVANTES-CHAPUES-LA Y DE LA PALIZADA-SAN VICENTE SALIDA PANAMERICANA-LA PALIZADALA RINCONADA-URBINA- CRUZ DE CALLE LARGA </t>
  </si>
  <si>
    <t>PANAMERICANA-SANTA MARTHA DE CUBA-QUEBRADA SANTO THOMAS-BARRIO SAN VICENTE-BARRIO SAN VICENTE ALTO-CUATRO LOMAS-CHUMBAN ALTO-CALLE GALAPAGOSY DE LLANO GRANDE.</t>
  </si>
  <si>
    <t>YAMBA-EL ROSAL-GUANANGUICHO NORTE-GUANANGUICHO  CENTRO- GUANANGUICHO SUR-HASTA DESVIO A SOLFERINO</t>
  </si>
  <si>
    <t>SANTA MARTHA -PURIFICACION-IMPUERAN-LA ANGELINA-ALOOR</t>
  </si>
  <si>
    <t>MANTENER LAS VIAS EN BUEN ESTADO DE TRANSITABILIDAD</t>
  </si>
  <si>
    <t>Mantener  en buen estado el 30% de la red vial de ambito provincial</t>
  </si>
  <si>
    <t>MANTENIMIENTO PERIODICO</t>
  </si>
  <si>
    <t>MANTENIMIENTO DE LA RED VIAL DE AMBITO PROVINCIAL</t>
  </si>
  <si>
    <t>MANTENIMIENTO DE TRATAMIENTO SUPERFICIAL BITUMINOSO</t>
  </si>
  <si>
    <t>VIA SANDIAL-CUCHER-GRUTA DE LA PAZ</t>
  </si>
  <si>
    <t>MANTENIMIENTO DE PUENTES</t>
  </si>
  <si>
    <t>MANTENIMIENTO DE PUENTES DE AMBITO PROVINCIAL</t>
  </si>
  <si>
    <t xml:space="preserve">COMUNICAR DE UN MANERA DIRECTA A LAS POBLACIONES </t>
  </si>
  <si>
    <t>ASFALTADOS</t>
  </si>
  <si>
    <t>DOBLE TRATAMIENTO SUPERFICIAL BITUMINOSO</t>
  </si>
  <si>
    <t>100% concluidas  las obras</t>
  </si>
  <si>
    <t>ING. LUIS MEJIA E.</t>
  </si>
  <si>
    <t>DIRECTOR OO.PP. ( E)</t>
  </si>
  <si>
    <t>EL RIO GRANDE-EL ROSAL-COOP. SAN FRANCISCO- MONTE LODO-TABLONES BARRIO EL CARRIZO – EL AMARILLO VIA PRINCIPAL – AGUAS HEDIONDAS LA CONCPECION -SANTA BARBARA DE CAR PANAM.- EL CHARCO-SANTA ROSA  LA Y DE LA CONCEPCION –SAN  NICOLAS DE CAR- PANAMER. CONCEPCIÓN</t>
  </si>
  <si>
    <t>SUBTOTAL 1</t>
  </si>
  <si>
    <t>PANAMERICANA - EL COLORADO-HUAQUER</t>
  </si>
  <si>
    <t>PANAMERICANA -SANDIAL-CUCHER-GRUTA DE LA PAZ-YAIL-PANAMERICANA -HUAQUER</t>
  </si>
  <si>
    <t>CRISTOBAL COLON-LIMITE PARROQUIAL, SAN JUAN -EL EJIDO-CUMBALTAR-SAN MIGUEL DE CHITAN DE QUELES -SAN PEDRO DE CHITAN DE QUELES-CHICO CAICO-CUMBALTAR-EL SIXAL</t>
  </si>
  <si>
    <t>PUENTE LIMITE PARROQUIAL CRISTOBAL COLON-CHITAN DE NAVARRETE-PUENTE LIMITE PARROQUIAL PIOTER - CHITAN DE NAVARRETE, PUENTE LIMITE PARROQUIAL FERNANDEZ SALVADOR- MATA REDONDA, CHITAN DE NAVARRETE-MATA REDONDA</t>
  </si>
  <si>
    <t>SUBTOTAL 2</t>
  </si>
  <si>
    <t>SUBTOTAL 3</t>
  </si>
  <si>
    <t>SUBTOTAL 4</t>
  </si>
  <si>
    <t>SUBTOTAL 5</t>
  </si>
  <si>
    <t>RIO BLANCO -PUENTE CHINAMBI-MIRA VALLE- RIO VERDE</t>
  </si>
  <si>
    <t>SUBTOTAL 6</t>
  </si>
  <si>
    <t xml:space="preserve">         EJECUCION FISICA</t>
  </si>
  <si>
    <t>Mantener  en buen estado el 10% de la red vial asfaltada de ambito provincial</t>
  </si>
  <si>
    <t>Al finalizar el año 2017 se cuenta con al menos 80 ml. de puentes rehabilitados</t>
  </si>
  <si>
    <t>100% Concluida la fase precontractual,Contractual y Ejecución</t>
  </si>
  <si>
    <t>CANTÓN HUACA</t>
  </si>
  <si>
    <t>CANTÓN TULCÁN</t>
  </si>
  <si>
    <t>CANTÓN MONTUFAR</t>
  </si>
  <si>
    <t>CANTÓN MIRA</t>
  </si>
  <si>
    <t>CANTÓN BOLÍVAR</t>
  </si>
  <si>
    <t xml:space="preserve">CANTÓN ESPEJO </t>
  </si>
  <si>
    <t>CANTON MIRA</t>
  </si>
  <si>
    <t>PRESUPUESTO INVERSIÓN PROVINCIAL AÑO 2017</t>
  </si>
  <si>
    <t>EJE: VÍAS PARA LA INTEGRACIÓN PRODUCTIVA</t>
  </si>
  <si>
    <t>TULCÁN</t>
  </si>
  <si>
    <t>HUACA</t>
  </si>
  <si>
    <t>MONTUFAR</t>
  </si>
  <si>
    <t>BOLÍVAR</t>
  </si>
  <si>
    <t>ESPEJO</t>
  </si>
  <si>
    <t>MIRA</t>
  </si>
  <si>
    <t>CANTONES</t>
  </si>
  <si>
    <t>TOTALES</t>
  </si>
  <si>
    <t xml:space="preserve">ASIGNACIÓN:   USD 1,693,441.61 (35%)     </t>
  </si>
  <si>
    <t>VALORES ASIGNADOS</t>
  </si>
  <si>
    <t>No.</t>
  </si>
  <si>
    <t>URBINA</t>
  </si>
  <si>
    <t>SEÑALIZACIÓN HORIZONTAL</t>
  </si>
  <si>
    <t>CUASPUD</t>
  </si>
  <si>
    <t>SUPERVISIÓN CHAUCHIN-S. JOSE TROJE</t>
  </si>
  <si>
    <t>JULIO ANDRADE</t>
  </si>
  <si>
    <t>MARISCAL SUCRE</t>
  </si>
  <si>
    <t>SANDIAL-GRUTA DE LA PAZ</t>
  </si>
  <si>
    <t>PIARTAL</t>
  </si>
  <si>
    <t>CHITAN DE NAVARRETES</t>
  </si>
  <si>
    <t>SLURRY</t>
  </si>
  <si>
    <t>MONTE OLIVO</t>
  </si>
  <si>
    <t>ALCANTARILLAS</t>
  </si>
  <si>
    <t>CUNETAS</t>
  </si>
  <si>
    <t>PUSIR GRANDE</t>
  </si>
  <si>
    <t>LA LIBERTAD - SAN ISIDRO</t>
  </si>
  <si>
    <t>SANTA MARTHA DE CUBA</t>
  </si>
  <si>
    <t>EMPEDRADO CAMINO SECTOR CUATRO LOMAS Y LLANO GRANDE</t>
  </si>
  <si>
    <t>EMPEDRADO CAMINO EL ROSAL Y SAN PEDRO</t>
  </si>
  <si>
    <t>MARISCAL SUCRE-GUANDERAS</t>
  </si>
  <si>
    <t>ASFALTADO GUANAGUICHO SUR-CENTRO-NORTE-HUACA</t>
  </si>
  <si>
    <t>CONVENIOS  DE COOPERACIÓN CON GADS</t>
  </si>
  <si>
    <t>ESTUDIOS</t>
  </si>
  <si>
    <t>PARA CONVENIOS</t>
  </si>
  <si>
    <t>TOTAL</t>
  </si>
  <si>
    <t>SUBTOTAL EMPEDRADOR, REEMPEDRADOS, OBRAS DE ARTE Y DRENAJE</t>
  </si>
  <si>
    <t>SUBTOTAL PUENTES</t>
  </si>
  <si>
    <t>SUB TOTAL CONSTRUCCIÓN VIAL</t>
  </si>
  <si>
    <t>CHUTAN BAJO - CHUTAN ALTO - CASCADA DE PALUZ</t>
  </si>
  <si>
    <t>MATRIZ PLAN OPERATIVO ANUAL 2018</t>
  </si>
  <si>
    <t>SUB TOTAL PLANIFICACION VIAL</t>
  </si>
  <si>
    <t>SUBTOTAL MANTENIMIENTO RUTINARIO</t>
  </si>
  <si>
    <t>Al finalizar el año 2018 se ha mantenido en buen estado 600 km de vía</t>
  </si>
  <si>
    <t>SUBTOTAL MANTENIMIENTO PERIODICO</t>
  </si>
  <si>
    <t xml:space="preserve">ELABORAR LA FASE CONTRACTUAL, CONTRACTUAL Y EJECUCIÒN DE OBRAS </t>
  </si>
  <si>
    <t>EJECUCIÒN DE OBRAS POR ADMINISTRACION DIRECTA Y CONTRATO</t>
  </si>
  <si>
    <t>Al finalizar el año 2018 se realizado el mantenimiento de 12 km de vías asfaltadas</t>
  </si>
  <si>
    <t>VIA SAN VICENTE - LA RINCONADITA</t>
  </si>
  <si>
    <t>VIA CHOTA - SAN VICENTE DE PUSIR</t>
  </si>
  <si>
    <t>VIA PIQUIUCHO - CALDERA</t>
  </si>
  <si>
    <t>SUBTOTAL MANTENIMIENTO DE TRATAMIENTO SUPERFICIAL  BITUMINOSO</t>
  </si>
  <si>
    <t>SUBTOTAL MANTENIMIENTO DE PUENTES</t>
  </si>
  <si>
    <t>SUB TOTAL MANTENIMIENTO VIAL</t>
  </si>
  <si>
    <t>REHABILITACION Y ASFALTADO DE LA VIA PIARTAL - SAN PEDRO</t>
  </si>
  <si>
    <t>Al finalizar el año 2018 se ha Rehabilitado con asfalto 3 Km mas  de vías.</t>
  </si>
  <si>
    <t>OBRAS ARRASTRE 2017</t>
  </si>
  <si>
    <t>SUB TOTAL OBRAS DE ARRASTRE 2017</t>
  </si>
  <si>
    <t>TOTAL INVERSION OBRAS PUBLICAS 2018</t>
  </si>
  <si>
    <t>SUB TOTAL CONVENIOS DE COOPERACIÓN</t>
  </si>
  <si>
    <t>Al finalizar el año 2018 se realizado el mantenimiento de 5.5 km de vías asfaltadas</t>
  </si>
  <si>
    <t>Al finalizar el año 2018 se realizado el mantenimiento de 4.5 km de vías asfaltadas</t>
  </si>
  <si>
    <t>Al finalizar el año 2018 se realizado el mantenimiento de 10 km de vías asfaltadas</t>
  </si>
  <si>
    <t xml:space="preserve"> LUIS MEJIA E.</t>
  </si>
  <si>
    <t>Al finalizar el año 2018 se cuenta con al menos 50 ml. de puentes rehabilitados</t>
  </si>
</sst>
</file>

<file path=xl/styles.xml><?xml version="1.0" encoding="utf-8"?>
<styleSheet xmlns="http://schemas.openxmlformats.org/spreadsheetml/2006/main">
  <numFmts count="29">
    <numFmt numFmtId="43" formatCode="_(* #,##0.00_);_(* \(#,##0.00\);_(* &quot;-&quot;??_);_(@_)"/>
    <numFmt numFmtId="164" formatCode="#,##0\ &quot;€&quot;;[Red]\-#,##0\ &quot;€&quot;"/>
    <numFmt numFmtId="165" formatCode="#,##0.00\ &quot;€&quot;;[Red]\-#,##0.00\ &quot;€&quot;"/>
    <numFmt numFmtId="166" formatCode="_-* #,##0.00\ _€_-;\-* #,##0.00\ _€_-;_-* &quot;-&quot;??\ _€_-;_-@_-"/>
    <numFmt numFmtId="167" formatCode="_-* #,##0.00\ _$_-;\-* #,##0.00\ _$_-;_-* &quot;-&quot;??\ _$_-;_-@_-"/>
    <numFmt numFmtId="168" formatCode="#,##0.00\ _€"/>
    <numFmt numFmtId="169" formatCode="_-* #,##0.00\ _P_t_a_-;\-* #,##0.00\ _P_t_a_-;_-* &quot;-&quot;??\ _P_t_a_-;_-@_-"/>
    <numFmt numFmtId="170" formatCode="#,##0.00&quot;       &quot;;\-#,##0.00&quot;       &quot;;&quot; -&quot;#&quot;       &quot;;@\ "/>
    <numFmt numFmtId="171" formatCode="#,##0.00_ ;\-#,##0.00\ "/>
    <numFmt numFmtId="172" formatCode="_ [$€-2]\ * #,##0.00_ ;_ [$€-2]\ * \-#,##0.00_ ;_ [$€-2]\ * &quot;-&quot;??_ "/>
    <numFmt numFmtId="173" formatCode="[$$-300A]#,##0.00;[Red][$$-300A]\-#,##0.00"/>
    <numFmt numFmtId="174" formatCode="[$-300A]General"/>
    <numFmt numFmtId="175" formatCode="#,##0.00&quot;    &quot;;&quot;-&quot;#,##0.00&quot;    &quot;;&quot; -&quot;#&quot;    &quot;;@&quot; &quot;"/>
    <numFmt numFmtId="176" formatCode="&quot;$&quot;#,##0_);[Red]\(&quot;$&quot;#,##0\)"/>
    <numFmt numFmtId="177" formatCode="\$#,##0\ ;[Red]&quot;($&quot;#,##0\)"/>
    <numFmt numFmtId="178" formatCode="0.00000"/>
    <numFmt numFmtId="179" formatCode="[$-C0A]General"/>
    <numFmt numFmtId="180" formatCode="_-* #,##0.00\ _€_-;\-* #,##0.00\ _€_-;_-* \-??\ _€_-;_-@_-"/>
    <numFmt numFmtId="181" formatCode="_ * #,##0.00_ ;_ * \-#,##0.00_ ;_ * \-??_ ;_ @_ "/>
    <numFmt numFmtId="182" formatCode="#,##0.00&quot;    &quot;;\-#,##0.00&quot;    &quot;;&quot; -&quot;#&quot;    &quot;;@\ "/>
    <numFmt numFmtId="183" formatCode="#,##0.00\ ;&quot; -&quot;#,##0.00\ ;&quot; -&quot;#\ ;@\ "/>
    <numFmt numFmtId="184" formatCode="0.000000"/>
    <numFmt numFmtId="185" formatCode="#,##0&quot;    &quot;;&quot;-&quot;#,##0&quot;    &quot;;&quot; -&quot;#&quot;    &quot;;@&quot; &quot;"/>
    <numFmt numFmtId="186" formatCode="#,##0&quot; €&quot;;[Red]\-#,##0&quot; €&quot;"/>
    <numFmt numFmtId="187" formatCode="[$$-300A]#,##0.00;[Red][$$-300A]&quot;-&quot;#,##0.00"/>
    <numFmt numFmtId="188" formatCode="0.0%"/>
    <numFmt numFmtId="189" formatCode="_-* #,##0.0\ _$_-;\-* #,##0.0\ _$_-;_-* &quot;-&quot;??\ _$_-;_-@_-"/>
    <numFmt numFmtId="190" formatCode="_-* #,##0\ _$_-;\-* #,##0\ _$_-;_-* &quot;-&quot;??\ _$_-;_-@_-"/>
    <numFmt numFmtId="191" formatCode="#,##0.0"/>
  </numFmts>
  <fonts count="5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10"/>
      <name val="Arial"/>
      <family val="2"/>
    </font>
    <font>
      <b/>
      <sz val="5"/>
      <name val="Times New Roman"/>
      <family val="1"/>
    </font>
    <font>
      <sz val="6"/>
      <name val="Times New Roman"/>
      <family val="1"/>
    </font>
    <font>
      <sz val="7"/>
      <name val="Times New Roman"/>
      <family val="1"/>
    </font>
    <font>
      <sz val="5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Arial11"/>
    </font>
    <font>
      <sz val="11"/>
      <color indexed="8"/>
      <name val="Calibri"/>
      <family val="2"/>
    </font>
    <font>
      <sz val="10"/>
      <color indexed="8"/>
      <name val="Arial1"/>
    </font>
    <font>
      <b/>
      <i/>
      <sz val="16"/>
      <color indexed="8"/>
      <name val="Arial"/>
      <family val="2"/>
    </font>
    <font>
      <sz val="11"/>
      <color indexed="8"/>
      <name val="Arial"/>
      <family val="2"/>
    </font>
    <font>
      <sz val="10"/>
      <name val="Mangal"/>
      <family val="2"/>
    </font>
    <font>
      <sz val="10"/>
      <color indexed="8"/>
      <name val="Arial2"/>
    </font>
    <font>
      <sz val="10"/>
      <name val="Arial"/>
      <family val="2"/>
      <charset val="1"/>
    </font>
    <font>
      <b/>
      <i/>
      <u/>
      <sz val="11"/>
      <color indexed="8"/>
      <name val="Arial"/>
      <family val="2"/>
    </font>
    <font>
      <sz val="12"/>
      <name val="Times New Roman"/>
      <family val="1"/>
    </font>
    <font>
      <sz val="9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28"/>
      <name val="Times New Roman"/>
      <family val="1"/>
    </font>
    <font>
      <b/>
      <sz val="6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Arial1"/>
    </font>
    <font>
      <sz val="10"/>
      <color rgb="FF000000"/>
      <name val="Arial"/>
      <family val="2"/>
    </font>
    <font>
      <sz val="10"/>
      <color rgb="FF000000"/>
      <name val="Arial11"/>
    </font>
    <font>
      <sz val="11"/>
      <color theme="1"/>
      <name val="Arial"/>
      <family val="2"/>
    </font>
    <font>
      <sz val="10"/>
      <color rgb="FF000000"/>
      <name val="Arial21"/>
    </font>
    <font>
      <sz val="11"/>
      <color rgb="FF000000"/>
      <name val="Calibri1"/>
    </font>
    <font>
      <sz val="11"/>
      <color rgb="FF000000"/>
      <name val="Calibri"/>
      <family val="2"/>
    </font>
    <font>
      <sz val="10"/>
      <color rgb="FF000000"/>
      <name val="Arial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name val="Times New Roman"/>
      <family val="1"/>
    </font>
    <font>
      <b/>
      <sz val="7"/>
      <color theme="0"/>
      <name val="Times New Roman"/>
      <family val="1"/>
    </font>
    <font>
      <sz val="7"/>
      <color theme="0"/>
      <name val="Times New Roman"/>
      <family val="1"/>
    </font>
    <font>
      <b/>
      <i/>
      <sz val="14"/>
      <name val="Times New Roman"/>
      <family val="1"/>
    </font>
    <font>
      <b/>
      <i/>
      <sz val="16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590">
    <xf numFmtId="0" fontId="0" fillId="0" borderId="0"/>
    <xf numFmtId="172" fontId="5" fillId="0" borderId="0" applyFont="0" applyFill="0" applyBorder="0" applyAlignment="0" applyProtection="0"/>
    <xf numFmtId="164" fontId="28" fillId="0" borderId="0" applyBorder="0" applyProtection="0"/>
    <xf numFmtId="173" fontId="29" fillId="0" borderId="0"/>
    <xf numFmtId="174" fontId="29" fillId="0" borderId="0"/>
    <xf numFmtId="173" fontId="29" fillId="0" borderId="0"/>
    <xf numFmtId="174" fontId="29" fillId="0" borderId="0"/>
    <xf numFmtId="173" fontId="29" fillId="0" borderId="0"/>
    <xf numFmtId="173" fontId="29" fillId="0" borderId="0"/>
    <xf numFmtId="173" fontId="29" fillId="0" borderId="0"/>
    <xf numFmtId="173" fontId="29" fillId="0" borderId="0"/>
    <xf numFmtId="173" fontId="29" fillId="0" borderId="0"/>
    <xf numFmtId="173" fontId="29" fillId="0" borderId="0"/>
    <xf numFmtId="173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0" fontId="29" fillId="0" borderId="0"/>
    <xf numFmtId="164" fontId="28" fillId="0" borderId="0" applyBorder="0" applyProtection="0"/>
    <xf numFmtId="164" fontId="28" fillId="0" borderId="0" applyBorder="0" applyProtection="0"/>
    <xf numFmtId="164" fontId="28" fillId="0" borderId="0" applyBorder="0" applyProtection="0"/>
    <xf numFmtId="164" fontId="28" fillId="0" borderId="0" applyBorder="0" applyProtection="0"/>
    <xf numFmtId="168" fontId="28" fillId="0" borderId="0" applyBorder="0" applyProtection="0"/>
    <xf numFmtId="164" fontId="28" fillId="0" borderId="0" applyBorder="0" applyProtection="0"/>
    <xf numFmtId="164" fontId="28" fillId="0" borderId="0" applyBorder="0" applyProtection="0"/>
    <xf numFmtId="164" fontId="28" fillId="0" borderId="0" applyBorder="0" applyProtection="0"/>
    <xf numFmtId="174" fontId="30" fillId="0" borderId="0"/>
    <xf numFmtId="174" fontId="30" fillId="0" borderId="0"/>
    <xf numFmtId="174" fontId="30" fillId="0" borderId="0"/>
    <xf numFmtId="174" fontId="30" fillId="0" borderId="0"/>
    <xf numFmtId="0" fontId="30" fillId="0" borderId="0"/>
    <xf numFmtId="173" fontId="30" fillId="0" borderId="0"/>
    <xf numFmtId="175" fontId="31" fillId="0" borderId="0"/>
    <xf numFmtId="0" fontId="30" fillId="0" borderId="0"/>
    <xf numFmtId="173" fontId="30" fillId="0" borderId="0"/>
    <xf numFmtId="175" fontId="31" fillId="0" borderId="0"/>
    <xf numFmtId="175" fontId="31" fillId="0" borderId="0"/>
    <xf numFmtId="0" fontId="30" fillId="0" borderId="0"/>
    <xf numFmtId="175" fontId="31" fillId="0" borderId="0"/>
    <xf numFmtId="175" fontId="31" fillId="0" borderId="0"/>
    <xf numFmtId="175" fontId="31" fillId="0" borderId="0"/>
    <xf numFmtId="175" fontId="31" fillId="0" borderId="0"/>
    <xf numFmtId="175" fontId="31" fillId="0" borderId="0"/>
    <xf numFmtId="164" fontId="28" fillId="0" borderId="0" applyBorder="0" applyProtection="0"/>
    <xf numFmtId="164" fontId="28" fillId="0" borderId="0" applyBorder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73" fontId="12" fillId="0" borderId="0"/>
    <xf numFmtId="173" fontId="30" fillId="0" borderId="0"/>
    <xf numFmtId="173" fontId="12" fillId="0" borderId="0"/>
    <xf numFmtId="173" fontId="30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0" fontId="30" fillId="0" borderId="0"/>
    <xf numFmtId="174" fontId="30" fillId="0" borderId="0"/>
    <xf numFmtId="164" fontId="28" fillId="0" borderId="0" applyBorder="0" applyProtection="0"/>
    <xf numFmtId="164" fontId="28" fillId="0" borderId="0" applyBorder="0" applyProtection="0"/>
    <xf numFmtId="164" fontId="28" fillId="0" borderId="0" applyBorder="0" applyProtection="0"/>
    <xf numFmtId="164" fontId="28" fillId="0" borderId="0" applyBorder="0" applyProtection="0"/>
    <xf numFmtId="164" fontId="28" fillId="0" borderId="0" applyBorder="0" applyProtection="0"/>
    <xf numFmtId="164" fontId="28" fillId="0" borderId="0" applyBorder="0" applyProtection="0"/>
    <xf numFmtId="164" fontId="28" fillId="0" borderId="0" applyBorder="0" applyProtection="0"/>
    <xf numFmtId="164" fontId="28" fillId="0" borderId="0" applyBorder="0" applyProtection="0"/>
    <xf numFmtId="164" fontId="28" fillId="0" borderId="0" applyBorder="0" applyProtection="0"/>
    <xf numFmtId="164" fontId="28" fillId="0" borderId="0" applyBorder="0" applyProtection="0"/>
    <xf numFmtId="0" fontId="1" fillId="0" borderId="0"/>
    <xf numFmtId="176" fontId="30" fillId="0" borderId="0"/>
    <xf numFmtId="0" fontId="32" fillId="0" borderId="0" applyNumberFormat="0" applyBorder="0" applyProtection="0"/>
    <xf numFmtId="0" fontId="32" fillId="0" borderId="0" applyNumberFormat="0" applyBorder="0" applyProtection="0"/>
    <xf numFmtId="0" fontId="32" fillId="0" borderId="0" applyNumberFormat="0" applyBorder="0" applyProtection="0"/>
    <xf numFmtId="0" fontId="32" fillId="0" borderId="0" applyNumberFormat="0" applyBorder="0" applyProtection="0"/>
    <xf numFmtId="0" fontId="32" fillId="0" borderId="0" applyNumberFormat="0" applyBorder="0" applyProtection="0"/>
    <xf numFmtId="174" fontId="30" fillId="0" borderId="0"/>
    <xf numFmtId="174" fontId="30" fillId="0" borderId="0"/>
    <xf numFmtId="174" fontId="30" fillId="0" borderId="0"/>
    <xf numFmtId="174" fontId="30" fillId="0" borderId="0"/>
    <xf numFmtId="0" fontId="30" fillId="0" borderId="0"/>
    <xf numFmtId="0" fontId="32" fillId="0" borderId="0" applyNumberFormat="0" applyBorder="0" applyProtection="0"/>
    <xf numFmtId="173" fontId="32" fillId="0" borderId="0" applyNumberFormat="0" applyBorder="0" applyProtection="0"/>
    <xf numFmtId="0" fontId="32" fillId="0" borderId="0" applyNumberFormat="0" applyBorder="0" applyProtection="0"/>
    <xf numFmtId="173" fontId="32" fillId="0" borderId="0" applyNumberFormat="0" applyBorder="0" applyProtection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6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 applyNumberFormat="0" applyBorder="0" applyProtection="0"/>
    <xf numFmtId="0" fontId="30" fillId="0" borderId="0"/>
    <xf numFmtId="0" fontId="13" fillId="0" borderId="0"/>
    <xf numFmtId="0" fontId="13" fillId="0" borderId="0"/>
    <xf numFmtId="0" fontId="13" fillId="0" borderId="0"/>
    <xf numFmtId="173" fontId="30" fillId="0" borderId="0"/>
    <xf numFmtId="170" fontId="30" fillId="0" borderId="0"/>
    <xf numFmtId="173" fontId="30" fillId="0" borderId="0"/>
    <xf numFmtId="170" fontId="30" fillId="0" borderId="0"/>
    <xf numFmtId="170" fontId="30" fillId="0" borderId="0"/>
    <xf numFmtId="170" fontId="30" fillId="0" borderId="0"/>
    <xf numFmtId="170" fontId="30" fillId="0" borderId="0"/>
    <xf numFmtId="170" fontId="30" fillId="0" borderId="0"/>
    <xf numFmtId="170" fontId="30" fillId="0" borderId="0"/>
    <xf numFmtId="170" fontId="30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7" fontId="12" fillId="0" borderId="0"/>
    <xf numFmtId="0" fontId="32" fillId="0" borderId="0" applyNumberFormat="0" applyBorder="0" applyProtection="0"/>
    <xf numFmtId="177" fontId="12" fillId="0" borderId="0"/>
    <xf numFmtId="0" fontId="32" fillId="0" borderId="0" applyNumberFormat="0" applyBorder="0" applyProtection="0"/>
    <xf numFmtId="0" fontId="32" fillId="0" borderId="0" applyNumberFormat="0" applyBorder="0" applyProtection="0"/>
    <xf numFmtId="0" fontId="32" fillId="0" borderId="0" applyNumberFormat="0" applyBorder="0" applyProtection="0"/>
    <xf numFmtId="0" fontId="32" fillId="0" borderId="0" applyNumberFormat="0" applyBorder="0" applyProtection="0"/>
    <xf numFmtId="0" fontId="32" fillId="0" borderId="0" applyNumberFormat="0" applyBorder="0" applyProtection="0"/>
    <xf numFmtId="0" fontId="32" fillId="0" borderId="0" applyNumberFormat="0" applyBorder="0" applyProtection="0"/>
    <xf numFmtId="0" fontId="3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7" fontId="12" fillId="0" borderId="0"/>
    <xf numFmtId="0" fontId="32" fillId="0" borderId="0" applyNumberFormat="0" applyBorder="0" applyProtection="0"/>
    <xf numFmtId="0" fontId="32" fillId="0" borderId="0" applyNumberFormat="0" applyBorder="0" applyProtection="0"/>
    <xf numFmtId="0" fontId="32" fillId="0" borderId="0" applyNumberFormat="0" applyBorder="0" applyProtection="0"/>
    <xf numFmtId="0" fontId="32" fillId="0" borderId="0" applyNumberFormat="0" applyBorder="0" applyProtection="0"/>
    <xf numFmtId="0" fontId="32" fillId="0" borderId="0" applyNumberFormat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7" fontId="12" fillId="0" borderId="0"/>
    <xf numFmtId="0" fontId="32" fillId="0" borderId="0" applyNumberFormat="0" applyBorder="0" applyProtection="0"/>
    <xf numFmtId="0" fontId="32" fillId="0" borderId="0" applyNumberFormat="0" applyBorder="0" applyProtection="0"/>
    <xf numFmtId="0" fontId="32" fillId="0" borderId="0" applyNumberFormat="0" applyBorder="0" applyProtection="0"/>
    <xf numFmtId="0" fontId="32" fillId="0" borderId="0" applyNumberFormat="0" applyBorder="0" applyProtection="0"/>
    <xf numFmtId="0" fontId="32" fillId="0" borderId="0" applyNumberFormat="0" applyBorder="0" applyProtection="0"/>
    <xf numFmtId="0" fontId="13" fillId="0" borderId="0"/>
    <xf numFmtId="0" fontId="13" fillId="0" borderId="0"/>
    <xf numFmtId="174" fontId="30" fillId="0" borderId="0"/>
    <xf numFmtId="0" fontId="32" fillId="0" borderId="0" applyNumberFormat="0" applyBorder="0" applyProtection="0"/>
    <xf numFmtId="0" fontId="32" fillId="0" borderId="0" applyNumberFormat="0" applyBorder="0" applyProtection="0"/>
    <xf numFmtId="0" fontId="32" fillId="0" borderId="0" applyNumberFormat="0" applyBorder="0" applyProtection="0"/>
    <xf numFmtId="0" fontId="32" fillId="0" borderId="0" applyNumberFormat="0" applyBorder="0" applyProtection="0"/>
    <xf numFmtId="0" fontId="32" fillId="0" borderId="0" applyNumberFormat="0" applyBorder="0" applyProtection="0"/>
    <xf numFmtId="0" fontId="32" fillId="0" borderId="0" applyNumberFormat="0" applyBorder="0" applyProtection="0"/>
    <xf numFmtId="0" fontId="32" fillId="0" borderId="0" applyNumberFormat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173" fontId="33" fillId="0" borderId="0"/>
    <xf numFmtId="174" fontId="33" fillId="0" borderId="0"/>
    <xf numFmtId="174" fontId="33" fillId="0" borderId="0"/>
    <xf numFmtId="174" fontId="33" fillId="0" borderId="0"/>
    <xf numFmtId="174" fontId="33" fillId="0" borderId="0"/>
    <xf numFmtId="174" fontId="33" fillId="0" borderId="0"/>
    <xf numFmtId="0" fontId="12" fillId="0" borderId="0" applyBorder="0" applyProtection="0"/>
    <xf numFmtId="173" fontId="33" fillId="0" borderId="0"/>
    <xf numFmtId="173" fontId="33" fillId="0" borderId="0"/>
    <xf numFmtId="173" fontId="33" fillId="0" borderId="0"/>
    <xf numFmtId="173" fontId="33" fillId="0" borderId="0"/>
    <xf numFmtId="173" fontId="33" fillId="0" borderId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12" fillId="0" borderId="0" applyBorder="0" applyProtection="0"/>
    <xf numFmtId="178" fontId="34" fillId="0" borderId="0"/>
    <xf numFmtId="179" fontId="34" fillId="0" borderId="0"/>
    <xf numFmtId="178" fontId="34" fillId="0" borderId="0"/>
    <xf numFmtId="173" fontId="12" fillId="0" borderId="0" applyBorder="0" applyProtection="0"/>
    <xf numFmtId="178" fontId="34" fillId="0" borderId="0"/>
    <xf numFmtId="178" fontId="34" fillId="0" borderId="0"/>
    <xf numFmtId="0" fontId="13" fillId="0" borderId="0"/>
    <xf numFmtId="0" fontId="13" fillId="0" borderId="0"/>
    <xf numFmtId="0" fontId="13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1" fillId="0" borderId="0"/>
    <xf numFmtId="0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2" fillId="0" borderId="0" applyBorder="0" applyProtection="0"/>
    <xf numFmtId="173" fontId="12" fillId="0" borderId="0" applyBorder="0" applyProtection="0"/>
    <xf numFmtId="173" fontId="12" fillId="0" borderId="0" applyBorder="0" applyProtection="0"/>
    <xf numFmtId="173" fontId="12" fillId="0" borderId="0" applyBorder="0" applyProtection="0"/>
    <xf numFmtId="173" fontId="12" fillId="0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12" fillId="0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 applyBorder="0" applyProtection="0"/>
    <xf numFmtId="0" fontId="14" fillId="0" borderId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35" fillId="0" borderId="0" applyBorder="0" applyProtection="0"/>
    <xf numFmtId="173" fontId="36" fillId="0" borderId="0">
      <alignment horizontal="center"/>
    </xf>
    <xf numFmtId="173" fontId="15" fillId="0" borderId="0">
      <alignment horizontal="center"/>
    </xf>
    <xf numFmtId="0" fontId="36" fillId="0" borderId="0">
      <alignment horizontal="center"/>
    </xf>
    <xf numFmtId="173" fontId="36" fillId="0" borderId="0">
      <alignment horizontal="center"/>
    </xf>
    <xf numFmtId="173" fontId="36" fillId="0" borderId="0">
      <alignment horizontal="center"/>
    </xf>
    <xf numFmtId="173" fontId="36" fillId="0" borderId="0">
      <alignment horizontal="center"/>
    </xf>
    <xf numFmtId="173" fontId="36" fillId="0" borderId="0">
      <alignment horizontal="center"/>
    </xf>
    <xf numFmtId="173" fontId="36" fillId="0" borderId="0">
      <alignment horizontal="center"/>
    </xf>
    <xf numFmtId="0" fontId="36" fillId="0" borderId="0">
      <alignment horizontal="center"/>
    </xf>
    <xf numFmtId="0" fontId="36" fillId="0" borderId="0">
      <alignment horizontal="center"/>
    </xf>
    <xf numFmtId="0" fontId="36" fillId="0" borderId="0">
      <alignment horizontal="center"/>
    </xf>
    <xf numFmtId="0" fontId="36" fillId="0" borderId="0">
      <alignment horizontal="center"/>
    </xf>
    <xf numFmtId="173" fontId="36" fillId="0" borderId="0">
      <alignment horizontal="center" textRotation="90"/>
    </xf>
    <xf numFmtId="173" fontId="15" fillId="0" borderId="0">
      <alignment horizontal="center" textRotation="90"/>
    </xf>
    <xf numFmtId="0" fontId="36" fillId="0" borderId="0">
      <alignment horizontal="center" textRotation="90"/>
    </xf>
    <xf numFmtId="173" fontId="36" fillId="0" borderId="0">
      <alignment horizontal="center" textRotation="90"/>
    </xf>
    <xf numFmtId="173" fontId="36" fillId="0" borderId="0">
      <alignment horizontal="center" textRotation="90"/>
    </xf>
    <xf numFmtId="173" fontId="36" fillId="0" borderId="0">
      <alignment horizontal="center" textRotation="90"/>
    </xf>
    <xf numFmtId="173" fontId="36" fillId="0" borderId="0">
      <alignment horizontal="center" textRotation="90"/>
    </xf>
    <xf numFmtId="173" fontId="36" fillId="0" borderId="0">
      <alignment horizontal="center" textRotation="90"/>
    </xf>
    <xf numFmtId="0" fontId="36" fillId="0" borderId="0">
      <alignment horizontal="center" textRotation="90"/>
    </xf>
    <xf numFmtId="0" fontId="36" fillId="0" borderId="0">
      <alignment horizontal="center" textRotation="90"/>
    </xf>
    <xf numFmtId="0" fontId="36" fillId="0" borderId="0">
      <alignment horizontal="center" textRotation="90"/>
    </xf>
    <xf numFmtId="0" fontId="36" fillId="0" borderId="0">
      <alignment horizontal="center" textRotation="90"/>
    </xf>
    <xf numFmtId="167" fontId="27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43" fontId="5" fillId="0" borderId="0" applyFont="0" applyFill="0" applyBorder="0" applyAlignment="0" applyProtection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43" fontId="13" fillId="0" borderId="0" applyFont="0" applyFill="0" applyBorder="0" applyAlignment="0" applyProtection="0"/>
    <xf numFmtId="181" fontId="1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81" fontId="1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1" fontId="1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1" fontId="1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1" fontId="1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1" fontId="1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1" fontId="1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1" fontId="1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1" fontId="1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1" fontId="1" fillId="0" borderId="0"/>
    <xf numFmtId="182" fontId="13" fillId="0" borderId="0"/>
    <xf numFmtId="180" fontId="1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74" fontId="28" fillId="0" borderId="0"/>
    <xf numFmtId="183" fontId="13" fillId="0" borderId="0"/>
    <xf numFmtId="174" fontId="28" fillId="0" borderId="0"/>
    <xf numFmtId="183" fontId="13" fillId="0" borderId="0"/>
    <xf numFmtId="174" fontId="28" fillId="0" borderId="0"/>
    <xf numFmtId="183" fontId="13" fillId="0" borderId="0"/>
    <xf numFmtId="174" fontId="28" fillId="0" borderId="0"/>
    <xf numFmtId="183" fontId="13" fillId="0" borderId="0"/>
    <xf numFmtId="182" fontId="13" fillId="0" borderId="0"/>
    <xf numFmtId="183" fontId="13" fillId="0" borderId="0"/>
    <xf numFmtId="183" fontId="13" fillId="0" borderId="0"/>
    <xf numFmtId="181" fontId="1" fillId="0" borderId="0"/>
    <xf numFmtId="183" fontId="13" fillId="0" borderId="0"/>
    <xf numFmtId="181" fontId="1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1" fontId="1" fillId="0" borderId="0"/>
    <xf numFmtId="174" fontId="28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1" fontId="1" fillId="0" borderId="0"/>
    <xf numFmtId="182" fontId="13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73" fontId="28" fillId="0" borderId="0"/>
    <xf numFmtId="173" fontId="28" fillId="0" borderId="0"/>
    <xf numFmtId="173" fontId="28" fillId="0" borderId="0"/>
    <xf numFmtId="173" fontId="28" fillId="0" borderId="0"/>
    <xf numFmtId="183" fontId="13" fillId="0" borderId="0"/>
    <xf numFmtId="183" fontId="13" fillId="0" borderId="0"/>
    <xf numFmtId="181" fontId="1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73" fontId="28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4" fontId="1" fillId="0" borderId="0"/>
    <xf numFmtId="183" fontId="13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1" fontId="1" fillId="0" borderId="0"/>
    <xf numFmtId="182" fontId="13" fillId="0" borderId="0"/>
    <xf numFmtId="0" fontId="1" fillId="0" borderId="0"/>
    <xf numFmtId="184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5" fontId="1" fillId="0" borderId="0"/>
    <xf numFmtId="183" fontId="13" fillId="0" borderId="0"/>
    <xf numFmtId="183" fontId="13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2" fontId="13" fillId="0" borderId="0"/>
    <xf numFmtId="182" fontId="13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73" fontId="28" fillId="0" borderId="0"/>
    <xf numFmtId="182" fontId="13" fillId="0" borderId="0"/>
    <xf numFmtId="182" fontId="13" fillId="0" borderId="0"/>
    <xf numFmtId="182" fontId="13" fillId="0" borderId="0"/>
    <xf numFmtId="180" fontId="1" fillId="0" borderId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1" fontId="1" fillId="0" borderId="0"/>
    <xf numFmtId="173" fontId="14" fillId="0" borderId="0"/>
    <xf numFmtId="181" fontId="1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0" fontId="13" fillId="0" borderId="0" applyFont="0" applyFill="0" applyBorder="0" applyAlignment="0" applyProtection="0"/>
    <xf numFmtId="182" fontId="13" fillId="0" borderId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81" fontId="1" fillId="0" borderId="0"/>
    <xf numFmtId="170" fontId="28" fillId="0" borderId="0"/>
    <xf numFmtId="181" fontId="1" fillId="0" borderId="0"/>
    <xf numFmtId="170" fontId="28" fillId="0" borderId="0"/>
    <xf numFmtId="170" fontId="28" fillId="0" borderId="0"/>
    <xf numFmtId="170" fontId="28" fillId="0" borderId="0"/>
    <xf numFmtId="170" fontId="28" fillId="0" borderId="0"/>
    <xf numFmtId="170" fontId="28" fillId="0" borderId="0"/>
    <xf numFmtId="170" fontId="28" fillId="0" borderId="0"/>
    <xf numFmtId="170" fontId="28" fillId="0" borderId="0"/>
    <xf numFmtId="170" fontId="13" fillId="0" borderId="0" applyFont="0" applyFill="0" applyBorder="0" applyAlignment="0" applyProtection="0"/>
    <xf numFmtId="182" fontId="13" fillId="0" borderId="0"/>
    <xf numFmtId="0" fontId="13" fillId="0" borderId="0"/>
    <xf numFmtId="170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81" fontId="1" fillId="0" borderId="0"/>
    <xf numFmtId="182" fontId="13" fillId="0" borderId="0"/>
    <xf numFmtId="181" fontId="1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43" fontId="13" fillId="0" borderId="0" applyFont="0" applyFill="0" applyBorder="0" applyAlignment="0" applyProtection="0"/>
    <xf numFmtId="182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81" fontId="1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43" fontId="13" fillId="0" borderId="0" applyFont="0" applyFill="0" applyBorder="0" applyAlignment="0" applyProtection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74" fontId="29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3" fontId="29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2" fontId="13" fillId="0" borderId="0"/>
    <xf numFmtId="180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6" fontId="16" fillId="0" borderId="0" applyFon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6" fontId="16" fillId="0" borderId="0" applyFon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" fillId="0" borderId="0"/>
    <xf numFmtId="165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75" fontId="17" fillId="0" borderId="0" applyFill="0" applyBorder="0" applyAlignment="0" applyProtection="0"/>
    <xf numFmtId="175" fontId="17" fillId="0" borderId="0" applyFill="0" applyBorder="0" applyAlignment="0" applyProtection="0"/>
    <xf numFmtId="175" fontId="17" fillId="0" borderId="0" applyFill="0" applyBorder="0" applyAlignment="0" applyProtection="0"/>
    <xf numFmtId="167" fontId="13" fillId="0" borderId="0" applyFont="0" applyFill="0" applyBorder="0" applyAlignment="0" applyProtection="0"/>
    <xf numFmtId="186" fontId="18" fillId="0" borderId="0" applyBorder="0" applyProtection="0"/>
    <xf numFmtId="0" fontId="18" fillId="0" borderId="0" applyBorder="0" applyProtection="0"/>
    <xf numFmtId="186" fontId="18" fillId="0" borderId="0" applyBorder="0" applyProtection="0"/>
    <xf numFmtId="186" fontId="18" fillId="0" borderId="0" applyBorder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181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81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0" fontId="5" fillId="0" borderId="0" applyFill="0" applyBorder="0" applyAlignment="0" applyProtection="0"/>
    <xf numFmtId="0" fontId="5" fillId="0" borderId="0" applyFill="0" applyBorder="0" applyAlignment="0" applyProtection="0"/>
    <xf numFmtId="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0" fontId="18" fillId="0" borderId="0" applyBorder="0" applyProtection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8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3" fontId="13" fillId="0" borderId="0"/>
    <xf numFmtId="173" fontId="13" fillId="0" borderId="0"/>
    <xf numFmtId="173" fontId="13" fillId="0" borderId="0"/>
    <xf numFmtId="173" fontId="13" fillId="0" borderId="0"/>
    <xf numFmtId="173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3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28" fillId="0" borderId="0"/>
    <xf numFmtId="174" fontId="28" fillId="0" borderId="0"/>
    <xf numFmtId="174" fontId="28" fillId="0" borderId="0"/>
    <xf numFmtId="174" fontId="28" fillId="0" borderId="0"/>
    <xf numFmtId="0" fontId="5" fillId="0" borderId="0"/>
    <xf numFmtId="0" fontId="5" fillId="0" borderId="0"/>
    <xf numFmtId="173" fontId="19" fillId="0" borderId="0"/>
    <xf numFmtId="0" fontId="19" fillId="0" borderId="0"/>
    <xf numFmtId="173" fontId="19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/>
    <xf numFmtId="0" fontId="5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/>
    <xf numFmtId="0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0" fontId="19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8" fillId="0" borderId="0"/>
    <xf numFmtId="0" fontId="5" fillId="0" borderId="0"/>
    <xf numFmtId="173" fontId="19" fillId="0" borderId="0"/>
    <xf numFmtId="0" fontId="5" fillId="0" borderId="0"/>
    <xf numFmtId="0" fontId="5" fillId="0" borderId="0"/>
    <xf numFmtId="0" fontId="5" fillId="0" borderId="0"/>
    <xf numFmtId="173" fontId="28" fillId="0" borderId="0"/>
    <xf numFmtId="173" fontId="28" fillId="0" borderId="0"/>
    <xf numFmtId="173" fontId="28" fillId="0" borderId="0"/>
    <xf numFmtId="173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173" fontId="14" fillId="0" borderId="0"/>
    <xf numFmtId="0" fontId="19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19" fillId="0" borderId="0"/>
    <xf numFmtId="170" fontId="28" fillId="0" borderId="0"/>
    <xf numFmtId="0" fontId="19" fillId="0" borderId="0"/>
    <xf numFmtId="170" fontId="28" fillId="0" borderId="0"/>
    <xf numFmtId="170" fontId="28" fillId="0" borderId="0"/>
    <xf numFmtId="170" fontId="28" fillId="0" borderId="0"/>
    <xf numFmtId="170" fontId="28" fillId="0" borderId="0"/>
    <xf numFmtId="170" fontId="28" fillId="0" borderId="0"/>
    <xf numFmtId="170" fontId="28" fillId="0" borderId="0"/>
    <xf numFmtId="170" fontId="28" fillId="0" borderId="0"/>
    <xf numFmtId="0" fontId="28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73" fontId="5" fillId="0" borderId="0"/>
    <xf numFmtId="173" fontId="27" fillId="0" borderId="0"/>
    <xf numFmtId="173" fontId="27" fillId="0" borderId="0"/>
    <xf numFmtId="173" fontId="27" fillId="0" borderId="0"/>
    <xf numFmtId="173" fontId="27" fillId="0" borderId="0"/>
    <xf numFmtId="173" fontId="27" fillId="0" borderId="0"/>
    <xf numFmtId="173" fontId="27" fillId="0" borderId="0"/>
    <xf numFmtId="173" fontId="13" fillId="0" borderId="0"/>
    <xf numFmtId="173" fontId="13" fillId="0" borderId="0"/>
    <xf numFmtId="173" fontId="13" fillId="0" borderId="0"/>
    <xf numFmtId="173" fontId="13" fillId="0" borderId="0"/>
    <xf numFmtId="173" fontId="13" fillId="0" borderId="0"/>
    <xf numFmtId="173" fontId="13" fillId="0" borderId="0"/>
    <xf numFmtId="0" fontId="27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/>
    <xf numFmtId="0" fontId="5" fillId="0" borderId="0"/>
    <xf numFmtId="173" fontId="31" fillId="0" borderId="0"/>
    <xf numFmtId="173" fontId="31" fillId="0" borderId="0"/>
    <xf numFmtId="173" fontId="31" fillId="0" borderId="0"/>
    <xf numFmtId="173" fontId="31" fillId="0" borderId="0"/>
    <xf numFmtId="173" fontId="31" fillId="0" borderId="0"/>
    <xf numFmtId="0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3" fontId="31" fillId="0" borderId="0"/>
    <xf numFmtId="0" fontId="5" fillId="0" borderId="0"/>
    <xf numFmtId="173" fontId="27" fillId="0" borderId="0"/>
    <xf numFmtId="173" fontId="27" fillId="0" borderId="0"/>
    <xf numFmtId="173" fontId="13" fillId="0" borderId="0"/>
    <xf numFmtId="173" fontId="13" fillId="0" borderId="0"/>
    <xf numFmtId="173" fontId="13" fillId="0" borderId="0"/>
    <xf numFmtId="173" fontId="13" fillId="0" borderId="0"/>
    <xf numFmtId="173" fontId="13" fillId="0" borderId="0"/>
    <xf numFmtId="173" fontId="13" fillId="0" borderId="0"/>
    <xf numFmtId="173" fontId="27" fillId="0" borderId="0"/>
    <xf numFmtId="0" fontId="31" fillId="0" borderId="0"/>
    <xf numFmtId="0" fontId="31" fillId="0" borderId="0"/>
    <xf numFmtId="0" fontId="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3" fontId="13" fillId="0" borderId="0"/>
    <xf numFmtId="173" fontId="13" fillId="0" borderId="0"/>
    <xf numFmtId="173" fontId="13" fillId="0" borderId="0"/>
    <xf numFmtId="173" fontId="13" fillId="0" borderId="0"/>
    <xf numFmtId="173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3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173" fontId="37" fillId="0" borderId="0"/>
    <xf numFmtId="173" fontId="20" fillId="0" borderId="0"/>
    <xf numFmtId="0" fontId="37" fillId="0" borderId="0"/>
    <xf numFmtId="173" fontId="37" fillId="0" borderId="0"/>
    <xf numFmtId="173" fontId="37" fillId="0" borderId="0"/>
    <xf numFmtId="173" fontId="37" fillId="0" borderId="0"/>
    <xf numFmtId="173" fontId="37" fillId="0" borderId="0"/>
    <xf numFmtId="173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73" fontId="37" fillId="0" borderId="0"/>
    <xf numFmtId="173" fontId="20" fillId="0" borderId="0"/>
    <xf numFmtId="187" fontId="37" fillId="0" borderId="0"/>
    <xf numFmtId="173" fontId="37" fillId="0" borderId="0"/>
    <xf numFmtId="173" fontId="37" fillId="0" borderId="0"/>
    <xf numFmtId="173" fontId="37" fillId="0" borderId="0"/>
    <xf numFmtId="173" fontId="37" fillId="0" borderId="0"/>
    <xf numFmtId="173" fontId="37" fillId="0" borderId="0"/>
    <xf numFmtId="187" fontId="37" fillId="0" borderId="0"/>
    <xf numFmtId="187" fontId="37" fillId="0" borderId="0"/>
    <xf numFmtId="187" fontId="37" fillId="0" borderId="0"/>
    <xf numFmtId="187" fontId="37" fillId="0" borderId="0"/>
  </cellStyleXfs>
  <cellXfs count="195">
    <xf numFmtId="0" fontId="0" fillId="0" borderId="0" xfId="0"/>
    <xf numFmtId="0" fontId="2" fillId="0" borderId="0" xfId="0" applyFont="1"/>
    <xf numFmtId="170" fontId="4" fillId="3" borderId="1" xfId="1104" applyNumberFormat="1" applyFont="1" applyFill="1" applyBorder="1" applyAlignment="1" applyProtection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7" fillId="0" borderId="0" xfId="0" applyFont="1"/>
    <xf numFmtId="0" fontId="9" fillId="0" borderId="0" xfId="0" applyFont="1"/>
    <xf numFmtId="167" fontId="39" fillId="0" borderId="0" xfId="321" applyFont="1"/>
    <xf numFmtId="0" fontId="8" fillId="0" borderId="0" xfId="0" applyFont="1"/>
    <xf numFmtId="171" fontId="8" fillId="0" borderId="0" xfId="0" applyNumberFormat="1" applyFont="1"/>
    <xf numFmtId="167" fontId="8" fillId="0" borderId="0" xfId="0" applyNumberFormat="1" applyFont="1"/>
    <xf numFmtId="167" fontId="8" fillId="0" borderId="0" xfId="321" applyFont="1"/>
    <xf numFmtId="0" fontId="9" fillId="0" borderId="3" xfId="0" applyFont="1" applyBorder="1"/>
    <xf numFmtId="0" fontId="11" fillId="0" borderId="0" xfId="0" applyFont="1" applyAlignment="1">
      <alignment horizontal="center"/>
    </xf>
    <xf numFmtId="170" fontId="8" fillId="0" borderId="0" xfId="0" applyNumberFormat="1" applyFont="1"/>
    <xf numFmtId="167" fontId="3" fillId="3" borderId="1" xfId="321" applyFont="1" applyFill="1" applyBorder="1" applyAlignment="1" applyProtection="1">
      <alignment horizontal="center" vertical="center" wrapText="1"/>
    </xf>
    <xf numFmtId="167" fontId="2" fillId="0" borderId="0" xfId="321" applyFont="1"/>
    <xf numFmtId="4" fontId="8" fillId="0" borderId="0" xfId="0" applyNumberFormat="1" applyFont="1"/>
    <xf numFmtId="0" fontId="22" fillId="0" borderId="0" xfId="0" applyFont="1" applyAlignment="1">
      <alignment horizontal="center"/>
    </xf>
    <xf numFmtId="167" fontId="4" fillId="4" borderId="4" xfId="321" applyFont="1" applyFill="1" applyBorder="1" applyAlignment="1">
      <alignment horizontal="center" vertical="center" wrapText="1"/>
    </xf>
    <xf numFmtId="0" fontId="4" fillId="4" borderId="4" xfId="79" applyFont="1" applyFill="1" applyBorder="1" applyAlignment="1">
      <alignment horizontal="center" vertical="center" wrapText="1"/>
    </xf>
    <xf numFmtId="0" fontId="4" fillId="4" borderId="6" xfId="79" applyFont="1" applyFill="1" applyBorder="1" applyAlignment="1">
      <alignment vertical="center"/>
    </xf>
    <xf numFmtId="0" fontId="4" fillId="4" borderId="2" xfId="79" applyFont="1" applyFill="1" applyBorder="1" applyAlignment="1">
      <alignment vertical="center"/>
    </xf>
    <xf numFmtId="188" fontId="2" fillId="0" borderId="0" xfId="0" applyNumberFormat="1" applyFont="1"/>
    <xf numFmtId="0" fontId="4" fillId="4" borderId="6" xfId="79" applyFont="1" applyFill="1" applyBorder="1" applyAlignment="1">
      <alignment horizontal="left" vertical="center"/>
    </xf>
    <xf numFmtId="0" fontId="4" fillId="4" borderId="8" xfId="79" applyFont="1" applyFill="1" applyBorder="1" applyAlignment="1">
      <alignment horizontal="left" vertical="center"/>
    </xf>
    <xf numFmtId="0" fontId="4" fillId="4" borderId="2" xfId="79" applyFont="1" applyFill="1" applyBorder="1" applyAlignment="1">
      <alignment horizontal="left" vertical="center"/>
    </xf>
    <xf numFmtId="167" fontId="27" fillId="0" borderId="0" xfId="321" applyFont="1"/>
    <xf numFmtId="167" fontId="27" fillId="0" borderId="0" xfId="321" applyFont="1" applyBorder="1"/>
    <xf numFmtId="167" fontId="27" fillId="0" borderId="1" xfId="321" applyFont="1" applyBorder="1"/>
    <xf numFmtId="167" fontId="0" fillId="0" borderId="1" xfId="0" applyNumberFormat="1" applyBorder="1"/>
    <xf numFmtId="0" fontId="38" fillId="0" borderId="1" xfId="0" applyFont="1" applyBorder="1" applyAlignment="1">
      <alignment horizontal="center"/>
    </xf>
    <xf numFmtId="0" fontId="40" fillId="0" borderId="0" xfId="0" applyFont="1"/>
    <xf numFmtId="167" fontId="40" fillId="0" borderId="0" xfId="321" applyFont="1"/>
    <xf numFmtId="9" fontId="40" fillId="0" borderId="0" xfId="0" applyNumberFormat="1" applyFont="1" applyAlignment="1">
      <alignment horizontal="left"/>
    </xf>
    <xf numFmtId="0" fontId="41" fillId="0" borderId="1" xfId="0" applyFont="1" applyBorder="1" applyAlignment="1">
      <alignment horizontal="center"/>
    </xf>
    <xf numFmtId="0" fontId="40" fillId="0" borderId="1" xfId="0" applyFont="1" applyBorder="1"/>
    <xf numFmtId="0" fontId="40" fillId="0" borderId="1" xfId="0" applyFont="1" applyBorder="1" applyAlignment="1">
      <alignment horizontal="left" wrapText="1"/>
    </xf>
    <xf numFmtId="167" fontId="42" fillId="0" borderId="1" xfId="321" applyFont="1" applyBorder="1"/>
    <xf numFmtId="167" fontId="43" fillId="0" borderId="1" xfId="0" applyNumberFormat="1" applyFont="1" applyBorder="1"/>
    <xf numFmtId="167" fontId="43" fillId="0" borderId="1" xfId="321" applyFont="1" applyBorder="1"/>
    <xf numFmtId="0" fontId="41" fillId="0" borderId="0" xfId="0" applyFont="1" applyBorder="1" applyAlignment="1">
      <alignment horizontal="center" wrapText="1"/>
    </xf>
    <xf numFmtId="190" fontId="44" fillId="0" borderId="1" xfId="321" applyNumberFormat="1" applyFont="1" applyBorder="1"/>
    <xf numFmtId="190" fontId="44" fillId="0" borderId="1" xfId="321" applyNumberFormat="1" applyFont="1" applyBorder="1" applyAlignment="1">
      <alignment horizontal="left"/>
    </xf>
    <xf numFmtId="190" fontId="44" fillId="0" borderId="1" xfId="321" applyNumberFormat="1" applyFont="1" applyBorder="1" applyAlignment="1">
      <alignment horizontal="left" vertical="center"/>
    </xf>
    <xf numFmtId="190" fontId="44" fillId="0" borderId="1" xfId="321" applyNumberFormat="1" applyFont="1" applyBorder="1" applyAlignment="1">
      <alignment vertical="center"/>
    </xf>
    <xf numFmtId="167" fontId="42" fillId="0" borderId="1" xfId="321" applyFont="1" applyBorder="1" applyAlignment="1">
      <alignment vertical="center"/>
    </xf>
    <xf numFmtId="0" fontId="38" fillId="0" borderId="4" xfId="0" applyFont="1" applyBorder="1" applyAlignment="1">
      <alignment horizontal="center"/>
    </xf>
    <xf numFmtId="0" fontId="0" fillId="0" borderId="10" xfId="0" applyBorder="1" applyAlignment="1">
      <alignment horizontal="left" wrapText="1"/>
    </xf>
    <xf numFmtId="0" fontId="0" fillId="0" borderId="10" xfId="0" applyBorder="1"/>
    <xf numFmtId="0" fontId="38" fillId="0" borderId="10" xfId="0" applyFont="1" applyBorder="1" applyAlignment="1">
      <alignment horizontal="center"/>
    </xf>
    <xf numFmtId="0" fontId="0" fillId="0" borderId="5" xfId="0" applyBorder="1"/>
    <xf numFmtId="0" fontId="0" fillId="0" borderId="4" xfId="0" applyBorder="1"/>
    <xf numFmtId="167" fontId="27" fillId="0" borderId="10" xfId="321" applyFont="1" applyBorder="1"/>
    <xf numFmtId="167" fontId="27" fillId="0" borderId="5" xfId="321" applyFont="1" applyBorder="1"/>
    <xf numFmtId="0" fontId="0" fillId="0" borderId="0" xfId="0" applyBorder="1"/>
    <xf numFmtId="0" fontId="40" fillId="0" borderId="10" xfId="0" applyFont="1" applyBorder="1" applyAlignment="1">
      <alignment horizontal="left" wrapText="1"/>
    </xf>
    <xf numFmtId="167" fontId="27" fillId="0" borderId="4" xfId="321" applyFont="1" applyBorder="1"/>
    <xf numFmtId="0" fontId="38" fillId="0" borderId="10" xfId="0" applyFont="1" applyFill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0" fillId="0" borderId="11" xfId="0" applyBorder="1" applyAlignment="1">
      <alignment horizontal="left" wrapText="1"/>
    </xf>
    <xf numFmtId="0" fontId="0" fillId="0" borderId="11" xfId="0" applyBorder="1"/>
    <xf numFmtId="0" fontId="38" fillId="0" borderId="10" xfId="0" applyFont="1" applyBorder="1" applyAlignment="1">
      <alignment horizontal="center" wrapText="1"/>
    </xf>
    <xf numFmtId="167" fontId="27" fillId="0" borderId="5" xfId="321" applyFont="1" applyBorder="1"/>
    <xf numFmtId="0" fontId="3" fillId="0" borderId="4" xfId="79" applyFont="1" applyFill="1" applyBorder="1" applyAlignment="1">
      <alignment horizontal="center" vertical="center" wrapText="1"/>
    </xf>
    <xf numFmtId="43" fontId="40" fillId="0" borderId="0" xfId="0" applyNumberFormat="1" applyFont="1"/>
    <xf numFmtId="167" fontId="27" fillId="0" borderId="0" xfId="321" applyFont="1"/>
    <xf numFmtId="43" fontId="0" fillId="0" borderId="0" xfId="0" applyNumberFormat="1"/>
    <xf numFmtId="167" fontId="0" fillId="0" borderId="0" xfId="0" applyNumberFormat="1"/>
    <xf numFmtId="167" fontId="38" fillId="0" borderId="0" xfId="0" applyNumberFormat="1" applyFont="1"/>
    <xf numFmtId="0" fontId="0" fillId="0" borderId="0" xfId="0" applyAlignment="1">
      <alignment horizontal="center" wrapText="1"/>
    </xf>
    <xf numFmtId="0" fontId="38" fillId="0" borderId="0" xfId="0" applyFont="1"/>
    <xf numFmtId="167" fontId="3" fillId="6" borderId="5" xfId="321" applyFont="1" applyFill="1" applyBorder="1" applyAlignment="1" applyProtection="1">
      <alignment horizontal="center" vertical="center" wrapText="1"/>
    </xf>
    <xf numFmtId="168" fontId="4" fillId="6" borderId="1" xfId="1564" applyNumberFormat="1" applyFont="1" applyFill="1" applyBorder="1" applyAlignment="1">
      <alignment horizontal="center" vertical="center"/>
    </xf>
    <xf numFmtId="0" fontId="4" fillId="5" borderId="1" xfId="1564" applyFont="1" applyFill="1" applyBorder="1" applyAlignment="1">
      <alignment vertical="center" wrapText="1"/>
    </xf>
    <xf numFmtId="168" fontId="4" fillId="5" borderId="1" xfId="1564" applyNumberFormat="1" applyFont="1" applyFill="1" applyBorder="1" applyAlignment="1">
      <alignment horizontal="center" vertical="center" wrapText="1"/>
    </xf>
    <xf numFmtId="191" fontId="47" fillId="0" borderId="0" xfId="0" applyNumberFormat="1" applyFont="1"/>
    <xf numFmtId="0" fontId="48" fillId="0" borderId="0" xfId="0" applyFont="1"/>
    <xf numFmtId="4" fontId="48" fillId="0" borderId="0" xfId="0" applyNumberFormat="1" applyFont="1"/>
    <xf numFmtId="167" fontId="48" fillId="0" borderId="0" xfId="321" applyFont="1"/>
    <xf numFmtId="168" fontId="48" fillId="0" borderId="0" xfId="0" applyNumberFormat="1" applyFont="1"/>
    <xf numFmtId="0" fontId="4" fillId="0" borderId="9" xfId="1564" applyFont="1" applyFill="1" applyBorder="1" applyAlignment="1">
      <alignment horizontal="center" vertical="center" wrapText="1"/>
    </xf>
    <xf numFmtId="168" fontId="4" fillId="5" borderId="1" xfId="1564" applyNumberFormat="1" applyFont="1" applyFill="1" applyBorder="1" applyAlignment="1">
      <alignment vertical="center" wrapText="1"/>
    </xf>
    <xf numFmtId="9" fontId="8" fillId="6" borderId="1" xfId="0" applyNumberFormat="1" applyFont="1" applyFill="1" applyBorder="1" applyAlignment="1">
      <alignment horizontal="center" vertical="center"/>
    </xf>
    <xf numFmtId="167" fontId="3" fillId="6" borderId="5" xfId="321" applyFont="1" applyFill="1" applyBorder="1" applyAlignment="1" applyProtection="1">
      <alignment vertical="center"/>
    </xf>
    <xf numFmtId="168" fontId="4" fillId="6" borderId="5" xfId="1564" applyNumberFormat="1" applyFont="1" applyFill="1" applyBorder="1" applyAlignment="1">
      <alignment horizontal="center" vertical="center"/>
    </xf>
    <xf numFmtId="168" fontId="8" fillId="6" borderId="5" xfId="1564" applyNumberFormat="1" applyFont="1" applyFill="1" applyBorder="1" applyAlignment="1">
      <alignment horizontal="center" vertical="center"/>
    </xf>
    <xf numFmtId="0" fontId="24" fillId="0" borderId="4" xfId="79" applyFont="1" applyFill="1" applyBorder="1" applyAlignment="1">
      <alignment horizontal="center" vertical="center" textRotation="255"/>
    </xf>
    <xf numFmtId="167" fontId="3" fillId="5" borderId="1" xfId="321" applyFont="1" applyFill="1" applyBorder="1" applyAlignment="1" applyProtection="1">
      <alignment horizontal="center" vertical="center" wrapText="1"/>
    </xf>
    <xf numFmtId="168" fontId="4" fillId="5" borderId="1" xfId="1564" applyNumberFormat="1" applyFont="1" applyFill="1" applyBorder="1" applyAlignment="1">
      <alignment horizontal="center" vertical="center"/>
    </xf>
    <xf numFmtId="0" fontId="2" fillId="7" borderId="4" xfId="79" applyFont="1" applyFill="1" applyBorder="1" applyAlignment="1">
      <alignment horizontal="center" vertical="center" wrapText="1"/>
    </xf>
    <xf numFmtId="0" fontId="7" fillId="7" borderId="4" xfId="79" applyFont="1" applyFill="1" applyBorder="1" applyAlignment="1">
      <alignment horizontal="center" vertical="center" wrapText="1"/>
    </xf>
    <xf numFmtId="0" fontId="9" fillId="7" borderId="4" xfId="1564" applyFont="1" applyFill="1" applyBorder="1" applyAlignment="1">
      <alignment horizontal="center" vertical="center" wrapText="1"/>
    </xf>
    <xf numFmtId="0" fontId="8" fillId="7" borderId="4" xfId="1564" applyFont="1" applyFill="1" applyBorder="1" applyAlignment="1">
      <alignment horizontal="center" vertical="center" wrapText="1"/>
    </xf>
    <xf numFmtId="0" fontId="9" fillId="7" borderId="1" xfId="1564" applyFont="1" applyFill="1" applyBorder="1" applyAlignment="1">
      <alignment horizontal="center" vertical="center" wrapText="1"/>
    </xf>
    <xf numFmtId="167" fontId="3" fillId="7" borderId="1" xfId="321" applyFont="1" applyFill="1" applyBorder="1" applyAlignment="1" applyProtection="1">
      <alignment vertical="center" wrapText="1"/>
    </xf>
    <xf numFmtId="168" fontId="8" fillId="7" borderId="1" xfId="1564" applyNumberFormat="1" applyFont="1" applyFill="1" applyBorder="1" applyAlignment="1">
      <alignment horizontal="center" vertical="center"/>
    </xf>
    <xf numFmtId="168" fontId="4" fillId="7" borderId="1" xfId="1564" applyNumberFormat="1" applyFont="1" applyFill="1" applyBorder="1" applyAlignment="1">
      <alignment horizontal="center" vertical="center"/>
    </xf>
    <xf numFmtId="9" fontId="8" fillId="7" borderId="1" xfId="0" applyNumberFormat="1" applyFont="1" applyFill="1" applyBorder="1" applyAlignment="1">
      <alignment horizontal="center" vertical="center"/>
    </xf>
    <xf numFmtId="0" fontId="2" fillId="7" borderId="4" xfId="1564" applyFont="1" applyFill="1" applyBorder="1" applyAlignment="1">
      <alignment horizontal="center" vertical="center" wrapText="1"/>
    </xf>
    <xf numFmtId="0" fontId="7" fillId="7" borderId="4" xfId="1564" applyFont="1" applyFill="1" applyBorder="1" applyAlignment="1">
      <alignment vertical="center" wrapText="1"/>
    </xf>
    <xf numFmtId="167" fontId="3" fillId="7" borderId="5" xfId="321" applyFont="1" applyFill="1" applyBorder="1" applyAlignment="1" applyProtection="1">
      <alignment horizontal="center" vertical="center" wrapText="1"/>
    </xf>
    <xf numFmtId="0" fontId="26" fillId="7" borderId="4" xfId="79" applyFont="1" applyFill="1" applyBorder="1" applyAlignment="1">
      <alignment horizontal="center" vertical="center" wrapText="1"/>
    </xf>
    <xf numFmtId="0" fontId="3" fillId="7" borderId="4" xfId="1564" applyFont="1" applyFill="1" applyBorder="1" applyAlignment="1">
      <alignment horizontal="center" vertical="center" wrapText="1"/>
    </xf>
    <xf numFmtId="0" fontId="7" fillId="7" borderId="9" xfId="79" applyFont="1" applyFill="1" applyBorder="1" applyAlignment="1">
      <alignment horizontal="center" vertical="center" wrapText="1"/>
    </xf>
    <xf numFmtId="0" fontId="7" fillId="7" borderId="1" xfId="79" applyFont="1" applyFill="1" applyBorder="1" applyAlignment="1">
      <alignment horizontal="left" vertical="center" wrapText="1"/>
    </xf>
    <xf numFmtId="0" fontId="7" fillId="7" borderId="1" xfId="1564" applyFont="1" applyFill="1" applyBorder="1" applyAlignment="1">
      <alignment horizontal="center" vertical="center" wrapText="1"/>
    </xf>
    <xf numFmtId="0" fontId="2" fillId="7" borderId="1" xfId="1564" applyFont="1" applyFill="1" applyBorder="1" applyAlignment="1">
      <alignment horizontal="center" vertical="center" wrapText="1"/>
    </xf>
    <xf numFmtId="188" fontId="8" fillId="7" borderId="1" xfId="0" applyNumberFormat="1" applyFont="1" applyFill="1" applyBorder="1" applyAlignment="1">
      <alignment horizontal="center" vertical="center"/>
    </xf>
    <xf numFmtId="0" fontId="26" fillId="7" borderId="1" xfId="79" applyFont="1" applyFill="1" applyBorder="1" applyAlignment="1">
      <alignment horizontal="center" vertical="center" wrapText="1"/>
    </xf>
    <xf numFmtId="0" fontId="22" fillId="7" borderId="1" xfId="1564" applyFont="1" applyFill="1" applyBorder="1" applyAlignment="1">
      <alignment vertical="center"/>
    </xf>
    <xf numFmtId="0" fontId="10" fillId="7" borderId="1" xfId="1564" applyFont="1" applyFill="1" applyBorder="1" applyAlignment="1">
      <alignment vertical="center"/>
    </xf>
    <xf numFmtId="0" fontId="3" fillId="7" borderId="1" xfId="1564" applyFont="1" applyFill="1" applyBorder="1" applyAlignment="1">
      <alignment horizontal="center" vertical="center"/>
    </xf>
    <xf numFmtId="0" fontId="3" fillId="7" borderId="1" xfId="79" applyFont="1" applyFill="1" applyBorder="1" applyAlignment="1">
      <alignment horizontal="center" vertical="center" wrapText="1"/>
    </xf>
    <xf numFmtId="0" fontId="7" fillId="7" borderId="4" xfId="79" applyFont="1" applyFill="1" applyBorder="1" applyAlignment="1">
      <alignment horizontal="left" vertical="center" wrapText="1"/>
    </xf>
    <xf numFmtId="0" fontId="3" fillId="7" borderId="6" xfId="79" applyFont="1" applyFill="1" applyBorder="1" applyAlignment="1">
      <alignment vertical="center"/>
    </xf>
    <xf numFmtId="0" fontId="3" fillId="7" borderId="1" xfId="79" applyFont="1" applyFill="1" applyBorder="1" applyAlignment="1">
      <alignment vertical="center"/>
    </xf>
    <xf numFmtId="0" fontId="3" fillId="7" borderId="8" xfId="79" applyFont="1" applyFill="1" applyBorder="1" applyAlignment="1">
      <alignment vertical="center"/>
    </xf>
    <xf numFmtId="0" fontId="3" fillId="7" borderId="6" xfId="79" applyFont="1" applyFill="1" applyBorder="1" applyAlignment="1">
      <alignment horizontal="center" vertical="center"/>
    </xf>
    <xf numFmtId="189" fontId="3" fillId="7" borderId="5" xfId="321" applyNumberFormat="1" applyFont="1" applyFill="1" applyBorder="1" applyAlignment="1" applyProtection="1">
      <alignment horizontal="center" vertical="center" wrapText="1"/>
    </xf>
    <xf numFmtId="0" fontId="21" fillId="7" borderId="4" xfId="79" applyFont="1" applyFill="1" applyBorder="1" applyAlignment="1">
      <alignment vertical="center" wrapText="1"/>
    </xf>
    <xf numFmtId="0" fontId="7" fillId="7" borderId="7" xfId="79" applyFont="1" applyFill="1" applyBorder="1" applyAlignment="1">
      <alignment horizontal="left" vertical="center" wrapText="1"/>
    </xf>
    <xf numFmtId="0" fontId="8" fillId="7" borderId="2" xfId="1564" applyFont="1" applyFill="1" applyBorder="1" applyAlignment="1">
      <alignment horizontal="center" vertical="center" wrapText="1"/>
    </xf>
    <xf numFmtId="0" fontId="9" fillId="7" borderId="2" xfId="1564" applyFont="1" applyFill="1" applyBorder="1" applyAlignment="1">
      <alignment vertical="center" wrapText="1"/>
    </xf>
    <xf numFmtId="167" fontId="3" fillId="7" borderId="1" xfId="321" applyFont="1" applyFill="1" applyBorder="1" applyAlignment="1" applyProtection="1">
      <alignment vertical="center"/>
    </xf>
    <xf numFmtId="168" fontId="4" fillId="7" borderId="1" xfId="1564" applyNumberFormat="1" applyFont="1" applyFill="1" applyBorder="1" applyAlignment="1">
      <alignment vertical="center" wrapText="1"/>
    </xf>
    <xf numFmtId="167" fontId="3" fillId="7" borderId="5" xfId="321" applyFont="1" applyFill="1" applyBorder="1" applyAlignment="1" applyProtection="1">
      <alignment vertical="center"/>
    </xf>
    <xf numFmtId="168" fontId="8" fillId="7" borderId="5" xfId="1564" applyNumberFormat="1" applyFont="1" applyFill="1" applyBorder="1" applyAlignment="1">
      <alignment horizontal="center" vertical="center"/>
    </xf>
    <xf numFmtId="168" fontId="4" fillId="7" borderId="5" xfId="1564" applyNumberFormat="1" applyFont="1" applyFill="1" applyBorder="1" applyAlignment="1">
      <alignment vertical="center" wrapText="1"/>
    </xf>
    <xf numFmtId="9" fontId="8" fillId="7" borderId="5" xfId="0" applyNumberFormat="1" applyFont="1" applyFill="1" applyBorder="1" applyAlignment="1">
      <alignment horizontal="center" vertical="center"/>
    </xf>
    <xf numFmtId="0" fontId="7" fillId="7" borderId="2" xfId="79" applyFont="1" applyFill="1" applyBorder="1" applyAlignment="1">
      <alignment horizontal="left" vertical="center" wrapText="1"/>
    </xf>
    <xf numFmtId="0" fontId="23" fillId="7" borderId="4" xfId="79" applyFont="1" applyFill="1" applyBorder="1" applyAlignment="1">
      <alignment horizontal="center" vertical="center" wrapText="1"/>
    </xf>
    <xf numFmtId="0" fontId="2" fillId="7" borderId="2" xfId="79" applyFont="1" applyFill="1" applyBorder="1" applyAlignment="1">
      <alignment horizontal="left" vertical="center" wrapText="1"/>
    </xf>
    <xf numFmtId="0" fontId="2" fillId="7" borderId="1" xfId="1564" applyFont="1" applyFill="1" applyBorder="1" applyAlignment="1">
      <alignment vertical="center" wrapText="1"/>
    </xf>
    <xf numFmtId="0" fontId="10" fillId="7" borderId="1" xfId="1564" applyFont="1" applyFill="1" applyBorder="1" applyAlignment="1">
      <alignment horizontal="center" vertical="center" wrapText="1"/>
    </xf>
    <xf numFmtId="0" fontId="10" fillId="7" borderId="4" xfId="1564" applyFont="1" applyFill="1" applyBorder="1" applyAlignment="1">
      <alignment horizontal="center" vertical="center" wrapText="1"/>
    </xf>
    <xf numFmtId="0" fontId="4" fillId="7" borderId="2" xfId="1564" applyFont="1" applyFill="1" applyBorder="1" applyAlignment="1">
      <alignment horizontal="center" vertical="center" wrapText="1"/>
    </xf>
    <xf numFmtId="0" fontId="6" fillId="7" borderId="2" xfId="1564" applyFont="1" applyFill="1" applyBorder="1" applyAlignment="1">
      <alignment horizontal="center" vertical="center" wrapText="1"/>
    </xf>
    <xf numFmtId="167" fontId="3" fillId="7" borderId="1" xfId="321" applyFont="1" applyFill="1" applyBorder="1" applyAlignment="1" applyProtection="1">
      <alignment horizontal="center" vertical="center" wrapText="1"/>
    </xf>
    <xf numFmtId="0" fontId="9" fillId="0" borderId="0" xfId="0" applyFont="1" applyBorder="1"/>
    <xf numFmtId="4" fontId="2" fillId="0" borderId="0" xfId="0" applyNumberFormat="1" applyFont="1"/>
    <xf numFmtId="191" fontId="2" fillId="0" borderId="0" xfId="0" applyNumberFormat="1" applyFont="1"/>
    <xf numFmtId="0" fontId="51" fillId="5" borderId="6" xfId="1564" applyFont="1" applyFill="1" applyBorder="1" applyAlignment="1">
      <alignment horizontal="center" vertical="center" wrapText="1"/>
    </xf>
    <xf numFmtId="0" fontId="51" fillId="5" borderId="8" xfId="1564" applyFont="1" applyFill="1" applyBorder="1" applyAlignment="1">
      <alignment horizontal="center" vertical="center" wrapText="1"/>
    </xf>
    <xf numFmtId="0" fontId="51" fillId="5" borderId="2" xfId="1564" applyFont="1" applyFill="1" applyBorder="1" applyAlignment="1">
      <alignment horizontal="center" vertical="center" wrapText="1"/>
    </xf>
    <xf numFmtId="0" fontId="4" fillId="0" borderId="4" xfId="1564" applyFont="1" applyFill="1" applyBorder="1" applyAlignment="1">
      <alignment horizontal="center" vertical="center" wrapText="1"/>
    </xf>
    <xf numFmtId="0" fontId="4" fillId="0" borderId="10" xfId="1564" applyFont="1" applyFill="1" applyBorder="1" applyAlignment="1">
      <alignment horizontal="center" vertical="center" wrapText="1"/>
    </xf>
    <xf numFmtId="0" fontId="4" fillId="0" borderId="5" xfId="1564" applyFont="1" applyFill="1" applyBorder="1" applyAlignment="1">
      <alignment horizontal="center" vertical="center" wrapText="1"/>
    </xf>
    <xf numFmtId="0" fontId="52" fillId="3" borderId="6" xfId="1564" applyFont="1" applyFill="1" applyBorder="1" applyAlignment="1">
      <alignment horizontal="center" vertical="center" wrapText="1"/>
    </xf>
    <xf numFmtId="0" fontId="52" fillId="3" borderId="8" xfId="1564" applyFont="1" applyFill="1" applyBorder="1" applyAlignment="1">
      <alignment horizontal="center" vertical="center" wrapText="1"/>
    </xf>
    <xf numFmtId="0" fontId="52" fillId="3" borderId="2" xfId="1564" applyFont="1" applyFill="1" applyBorder="1" applyAlignment="1">
      <alignment horizontal="center" vertical="center" wrapText="1"/>
    </xf>
    <xf numFmtId="0" fontId="25" fillId="0" borderId="4" xfId="79" applyFont="1" applyFill="1" applyBorder="1" applyAlignment="1">
      <alignment horizontal="center" vertical="center" textRotation="255" wrapText="1"/>
    </xf>
    <xf numFmtId="0" fontId="25" fillId="0" borderId="10" xfId="79" applyFont="1" applyFill="1" applyBorder="1" applyAlignment="1">
      <alignment horizontal="center" vertical="center" textRotation="255" wrapText="1"/>
    </xf>
    <xf numFmtId="0" fontId="23" fillId="7" borderId="9" xfId="79" applyFont="1" applyFill="1" applyBorder="1" applyAlignment="1">
      <alignment horizontal="center" vertical="center" wrapText="1"/>
    </xf>
    <xf numFmtId="0" fontId="23" fillId="7" borderId="13" xfId="79" applyFont="1" applyFill="1" applyBorder="1" applyAlignment="1">
      <alignment horizontal="center" vertical="center" wrapText="1"/>
    </xf>
    <xf numFmtId="0" fontId="23" fillId="7" borderId="7" xfId="79" applyFont="1" applyFill="1" applyBorder="1" applyAlignment="1">
      <alignment horizontal="center" vertical="center" wrapText="1"/>
    </xf>
    <xf numFmtId="0" fontId="46" fillId="6" borderId="6" xfId="79" applyFont="1" applyFill="1" applyBorder="1" applyAlignment="1">
      <alignment horizontal="left" vertical="center" wrapText="1"/>
    </xf>
    <xf numFmtId="0" fontId="46" fillId="6" borderId="8" xfId="79" applyFont="1" applyFill="1" applyBorder="1" applyAlignment="1">
      <alignment horizontal="left" vertical="center" wrapText="1"/>
    </xf>
    <xf numFmtId="0" fontId="46" fillId="6" borderId="2" xfId="79" applyFont="1" applyFill="1" applyBorder="1" applyAlignment="1">
      <alignment horizontal="left" vertical="center" wrapText="1"/>
    </xf>
    <xf numFmtId="0" fontId="10" fillId="7" borderId="4" xfId="79" applyFont="1" applyFill="1" applyBorder="1" applyAlignment="1">
      <alignment horizontal="center" vertical="center" wrapText="1"/>
    </xf>
    <xf numFmtId="0" fontId="10" fillId="7" borderId="10" xfId="79" applyFont="1" applyFill="1" applyBorder="1" applyAlignment="1">
      <alignment horizontal="center" vertical="center" wrapText="1"/>
    </xf>
    <xf numFmtId="0" fontId="10" fillId="7" borderId="5" xfId="79" applyFont="1" applyFill="1" applyBorder="1" applyAlignment="1">
      <alignment horizontal="center" vertical="center" wrapText="1"/>
    </xf>
    <xf numFmtId="0" fontId="4" fillId="4" borderId="6" xfId="79" applyFont="1" applyFill="1" applyBorder="1" applyAlignment="1">
      <alignment horizontal="center" vertical="center" wrapText="1"/>
    </xf>
    <xf numFmtId="0" fontId="4" fillId="4" borderId="8" xfId="79" applyFont="1" applyFill="1" applyBorder="1" applyAlignment="1">
      <alignment horizontal="center" vertical="center" wrapText="1"/>
    </xf>
    <xf numFmtId="0" fontId="4" fillId="4" borderId="2" xfId="79" applyFont="1" applyFill="1" applyBorder="1" applyAlignment="1">
      <alignment horizontal="center" vertical="center" wrapText="1"/>
    </xf>
    <xf numFmtId="0" fontId="24" fillId="0" borderId="12" xfId="79" applyFont="1" applyFill="1" applyBorder="1" applyAlignment="1">
      <alignment horizontal="center" vertical="center" textRotation="255" wrapText="1"/>
    </xf>
    <xf numFmtId="0" fontId="24" fillId="0" borderId="11" xfId="79" applyFont="1" applyFill="1" applyBorder="1" applyAlignment="1">
      <alignment horizontal="center" vertical="center" textRotation="255" wrapText="1"/>
    </xf>
    <xf numFmtId="0" fontId="23" fillId="7" borderId="4" xfId="79" applyFont="1" applyFill="1" applyBorder="1" applyAlignment="1">
      <alignment horizontal="center" vertical="center" wrapText="1"/>
    </xf>
    <xf numFmtId="0" fontId="23" fillId="7" borderId="10" xfId="79" applyFont="1" applyFill="1" applyBorder="1" applyAlignment="1">
      <alignment horizontal="center" vertical="center" wrapText="1"/>
    </xf>
    <xf numFmtId="0" fontId="23" fillId="7" borderId="5" xfId="79" applyFont="1" applyFill="1" applyBorder="1" applyAlignment="1">
      <alignment horizontal="center" vertical="center" wrapText="1"/>
    </xf>
    <xf numFmtId="0" fontId="50" fillId="2" borderId="0" xfId="79" applyFont="1" applyFill="1" applyBorder="1" applyAlignment="1">
      <alignment horizontal="center"/>
    </xf>
    <xf numFmtId="0" fontId="49" fillId="2" borderId="3" xfId="79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4" borderId="4" xfId="79" applyFont="1" applyFill="1" applyBorder="1" applyAlignment="1">
      <alignment horizontal="center" vertical="center" wrapText="1"/>
    </xf>
    <xf numFmtId="0" fontId="3" fillId="4" borderId="5" xfId="79" applyFont="1" applyFill="1" applyBorder="1" applyAlignment="1">
      <alignment horizontal="center" vertical="center" wrapText="1"/>
    </xf>
    <xf numFmtId="0" fontId="3" fillId="4" borderId="4" xfId="79" applyFont="1" applyFill="1" applyBorder="1" applyAlignment="1">
      <alignment horizontal="center" vertical="center"/>
    </xf>
    <xf numFmtId="0" fontId="3" fillId="4" borderId="5" xfId="79" applyFont="1" applyFill="1" applyBorder="1" applyAlignment="1">
      <alignment horizontal="center" vertical="center"/>
    </xf>
    <xf numFmtId="0" fontId="3" fillId="4" borderId="6" xfId="79" applyFont="1" applyFill="1" applyBorder="1" applyAlignment="1">
      <alignment horizontal="center" vertical="center" wrapText="1"/>
    </xf>
    <xf numFmtId="0" fontId="3" fillId="4" borderId="2" xfId="79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41" fillId="0" borderId="6" xfId="0" applyFont="1" applyBorder="1" applyAlignment="1">
      <alignment horizontal="center" wrapText="1"/>
    </xf>
    <xf numFmtId="0" fontId="41" fillId="0" borderId="8" xfId="0" applyFont="1" applyBorder="1" applyAlignment="1">
      <alignment horizontal="center" wrapText="1"/>
    </xf>
    <xf numFmtId="0" fontId="41" fillId="0" borderId="2" xfId="0" applyFont="1" applyBorder="1" applyAlignment="1">
      <alignment horizont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5" fillId="0" borderId="0" xfId="0" applyFont="1" applyAlignment="1">
      <alignment horizontal="center" wrapText="1"/>
    </xf>
    <xf numFmtId="0" fontId="41" fillId="0" borderId="0" xfId="0" applyFont="1" applyAlignment="1">
      <alignment horizontal="center" wrapText="1"/>
    </xf>
    <xf numFmtId="0" fontId="41" fillId="0" borderId="3" xfId="0" applyFont="1" applyBorder="1" applyAlignment="1">
      <alignment horizontal="center" wrapText="1"/>
    </xf>
    <xf numFmtId="190" fontId="44" fillId="0" borderId="4" xfId="321" applyNumberFormat="1" applyFont="1" applyBorder="1" applyAlignment="1">
      <alignment horizontal="left" vertical="center" wrapText="1"/>
    </xf>
    <xf numFmtId="190" fontId="44" fillId="0" borderId="5" xfId="321" applyNumberFormat="1" applyFont="1" applyBorder="1" applyAlignment="1">
      <alignment horizontal="left" vertical="center" wrapText="1"/>
    </xf>
    <xf numFmtId="0" fontId="41" fillId="0" borderId="12" xfId="0" applyFont="1" applyBorder="1" applyAlignment="1">
      <alignment horizontal="center" wrapText="1"/>
    </xf>
    <xf numFmtId="0" fontId="41" fillId="0" borderId="14" xfId="0" applyFont="1" applyBorder="1" applyAlignment="1">
      <alignment horizontal="center" wrapText="1"/>
    </xf>
    <xf numFmtId="0" fontId="41" fillId="0" borderId="9" xfId="0" applyFont="1" applyBorder="1" applyAlignment="1">
      <alignment horizontal="center" wrapText="1"/>
    </xf>
  </cellXfs>
  <cellStyles count="1590">
    <cellStyle name="Euro" xfId="1"/>
    <cellStyle name="Excel Built-in Comma" xfId="2"/>
    <cellStyle name="Excel Built-in Comma 1" xfId="3"/>
    <cellStyle name="Excel Built-in Comma 1 2" xfId="4"/>
    <cellStyle name="Excel Built-in Comma 1 2 2" xfId="5"/>
    <cellStyle name="Excel Built-in Comma 1 2 2 2" xfId="6"/>
    <cellStyle name="Excel Built-in Comma 1 2 2 2 2" xfId="7"/>
    <cellStyle name="Excel Built-in Comma 1 2 2 3" xfId="8"/>
    <cellStyle name="Excel Built-in Comma 1 2 3" xfId="9"/>
    <cellStyle name="Excel Built-in Comma 1 2 4" xfId="10"/>
    <cellStyle name="Excel Built-in Comma 1 2 5" xfId="11"/>
    <cellStyle name="Excel Built-in Comma 1 2 6" xfId="12"/>
    <cellStyle name="Excel Built-in Comma 1 2 7" xfId="13"/>
    <cellStyle name="Excel Built-in Comma 1 3" xfId="14"/>
    <cellStyle name="Excel Built-in Comma 1 4" xfId="15"/>
    <cellStyle name="Excel Built-in Comma 1 5" xfId="16"/>
    <cellStyle name="Excel Built-in Comma 1 6" xfId="17"/>
    <cellStyle name="Excel Built-in Comma 1 7" xfId="18"/>
    <cellStyle name="Excel Built-in Comma 10" xfId="19"/>
    <cellStyle name="Excel Built-in Comma 11" xfId="20"/>
    <cellStyle name="Excel Built-in Comma 12" xfId="21"/>
    <cellStyle name="Excel Built-in Comma 13" xfId="22"/>
    <cellStyle name="Excel Built-in Comma 13 2" xfId="23"/>
    <cellStyle name="Excel Built-in Comma 13 2 2" xfId="24"/>
    <cellStyle name="Excel Built-in Comma 13 3" xfId="25"/>
    <cellStyle name="Excel Built-in Comma 14" xfId="26"/>
    <cellStyle name="Excel Built-in Comma 15" xfId="27"/>
    <cellStyle name="Excel Built-in Comma 16" xfId="28"/>
    <cellStyle name="Excel Built-in Comma 17" xfId="29"/>
    <cellStyle name="Excel Built-in Comma 18" xfId="30"/>
    <cellStyle name="Excel Built-in Comma 19" xfId="31"/>
    <cellStyle name="Excel Built-in Comma 2" xfId="32"/>
    <cellStyle name="Excel Built-in Comma 2 2" xfId="33"/>
    <cellStyle name="Excel Built-in Comma 2 2 2" xfId="34"/>
    <cellStyle name="Excel Built-in Comma 2 2 2 2" xfId="35"/>
    <cellStyle name="Excel Built-in Comma 2 2 2 2 2" xfId="36"/>
    <cellStyle name="Excel Built-in Comma 2 2 3" xfId="37"/>
    <cellStyle name="Excel Built-in Comma 2 2 4" xfId="38"/>
    <cellStyle name="Excel Built-in Comma 2 3" xfId="39"/>
    <cellStyle name="Excel Built-in Comma 2 4" xfId="40"/>
    <cellStyle name="Excel Built-in Comma 2 5" xfId="41"/>
    <cellStyle name="Excel Built-in Comma 2 6" xfId="42"/>
    <cellStyle name="Excel Built-in Comma 2 7" xfId="43"/>
    <cellStyle name="Excel Built-in Comma 2 8" xfId="44"/>
    <cellStyle name="Excel Built-in Comma 2 9" xfId="45"/>
    <cellStyle name="Excel Built-in Comma 20" xfId="46"/>
    <cellStyle name="Excel Built-in Comma 21" xfId="47"/>
    <cellStyle name="Excel Built-in Comma 22" xfId="48"/>
    <cellStyle name="Excel Built-in Comma 23" xfId="49"/>
    <cellStyle name="Excel Built-in Comma 24" xfId="50"/>
    <cellStyle name="Excel Built-in Comma 25" xfId="51"/>
    <cellStyle name="Excel Built-in Comma 3" xfId="52"/>
    <cellStyle name="Excel Built-in Comma 3 2" xfId="53"/>
    <cellStyle name="Excel Built-in Comma 3 2 2" xfId="54"/>
    <cellStyle name="Excel Built-in Comma 3 2 2 2" xfId="55"/>
    <cellStyle name="Excel Built-in Comma 3 2 2 2 2" xfId="56"/>
    <cellStyle name="Excel Built-in Comma 3 2 2 3" xfId="57"/>
    <cellStyle name="Excel Built-in Comma 3 2 3" xfId="58"/>
    <cellStyle name="Excel Built-in Comma 3 2 4" xfId="59"/>
    <cellStyle name="Excel Built-in Comma 3 2 5" xfId="60"/>
    <cellStyle name="Excel Built-in Comma 3 2 6" xfId="61"/>
    <cellStyle name="Excel Built-in Comma 3 2 7" xfId="62"/>
    <cellStyle name="Excel Built-in Comma 3 3" xfId="63"/>
    <cellStyle name="Excel Built-in Comma 3 4" xfId="64"/>
    <cellStyle name="Excel Built-in Comma 3 5" xfId="65"/>
    <cellStyle name="Excel Built-in Comma 3 6" xfId="66"/>
    <cellStyle name="Excel Built-in Comma 3 7" xfId="67"/>
    <cellStyle name="Excel Built-in Comma 4" xfId="68"/>
    <cellStyle name="Excel Built-in Comma 4 2" xfId="69"/>
    <cellStyle name="Excel Built-in Comma 4 3" xfId="70"/>
    <cellStyle name="Excel Built-in Comma 4 4" xfId="71"/>
    <cellStyle name="Excel Built-in Comma 4 5" xfId="72"/>
    <cellStyle name="Excel Built-in Comma 4 6" xfId="73"/>
    <cellStyle name="Excel Built-in Comma 5" xfId="74"/>
    <cellStyle name="Excel Built-in Comma 6" xfId="75"/>
    <cellStyle name="Excel Built-in Comma 7" xfId="76"/>
    <cellStyle name="Excel Built-in Comma 8" xfId="77"/>
    <cellStyle name="Excel Built-in Comma 9" xfId="78"/>
    <cellStyle name="Excel Built-in Normal" xfId="79"/>
    <cellStyle name="Excel Built-in Normal 1" xfId="80"/>
    <cellStyle name="Excel Built-in Normal 1 10" xfId="81"/>
    <cellStyle name="Excel Built-in Normal 1 11" xfId="82"/>
    <cellStyle name="Excel Built-in Normal 1 12" xfId="83"/>
    <cellStyle name="Excel Built-in Normal 1 13" xfId="84"/>
    <cellStyle name="Excel Built-in Normal 1 14" xfId="85"/>
    <cellStyle name="Excel Built-in Normal 1 15" xfId="86"/>
    <cellStyle name="Excel Built-in Normal 1 16" xfId="87"/>
    <cellStyle name="Excel Built-in Normal 1 17" xfId="88"/>
    <cellStyle name="Excel Built-in Normal 1 18" xfId="89"/>
    <cellStyle name="Excel Built-in Normal 1 19" xfId="90"/>
    <cellStyle name="Excel Built-in Normal 1 2" xfId="91"/>
    <cellStyle name="Excel Built-in Normal 1 2 2" xfId="92"/>
    <cellStyle name="Excel Built-in Normal 1 2 2 2" xfId="93"/>
    <cellStyle name="Excel Built-in Normal 1 2 2 2 2" xfId="94"/>
    <cellStyle name="Excel Built-in Normal 1 2 3" xfId="95"/>
    <cellStyle name="Excel Built-in Normal 1 2 4" xfId="96"/>
    <cellStyle name="Excel Built-in Normal 1 2 5" xfId="97"/>
    <cellStyle name="Excel Built-in Normal 1 2 6" xfId="98"/>
    <cellStyle name="Excel Built-in Normal 1 2 7" xfId="99"/>
    <cellStyle name="Excel Built-in Normal 1 2 8" xfId="100"/>
    <cellStyle name="Excel Built-in Normal 1 20" xfId="101"/>
    <cellStyle name="Excel Built-in Normal 1 21" xfId="102"/>
    <cellStyle name="Excel Built-in Normal 1 22" xfId="103"/>
    <cellStyle name="Excel Built-in Normal 1 23" xfId="104"/>
    <cellStyle name="Excel Built-in Normal 1 24" xfId="105"/>
    <cellStyle name="Excel Built-in Normal 1 25" xfId="106"/>
    <cellStyle name="Excel Built-in Normal 1 26" xfId="107"/>
    <cellStyle name="Excel Built-in Normal 1 27" xfId="108"/>
    <cellStyle name="Excel Built-in Normal 1 28" xfId="109"/>
    <cellStyle name="Excel Built-in Normal 1 29" xfId="110"/>
    <cellStyle name="Excel Built-in Normal 1 3" xfId="111"/>
    <cellStyle name="Excel Built-in Normal 1 3 2" xfId="112"/>
    <cellStyle name="Excel Built-in Normal 1 3 2 2" xfId="113"/>
    <cellStyle name="Excel Built-in Normal 1 3 2 2 2" xfId="114"/>
    <cellStyle name="Excel Built-in Normal 1 3 2 3" xfId="115"/>
    <cellStyle name="Excel Built-in Normal 1 3 3" xfId="116"/>
    <cellStyle name="Excel Built-in Normal 1 3 4" xfId="117"/>
    <cellStyle name="Excel Built-in Normal 1 3 5" xfId="118"/>
    <cellStyle name="Excel Built-in Normal 1 3 6" xfId="119"/>
    <cellStyle name="Excel Built-in Normal 1 3 7" xfId="120"/>
    <cellStyle name="Excel Built-in Normal 1 3 8" xfId="121"/>
    <cellStyle name="Excel Built-in Normal 1 30" xfId="122"/>
    <cellStyle name="Excel Built-in Normal 1 31" xfId="123"/>
    <cellStyle name="Excel Built-in Normal 1 32" xfId="124"/>
    <cellStyle name="Excel Built-in Normal 1 33" xfId="125"/>
    <cellStyle name="Excel Built-in Normal 1 34" xfId="126"/>
    <cellStyle name="Excel Built-in Normal 1 35" xfId="127"/>
    <cellStyle name="Excel Built-in Normal 1 36" xfId="128"/>
    <cellStyle name="Excel Built-in Normal 1 37" xfId="129"/>
    <cellStyle name="Excel Built-in Normal 1 38" xfId="130"/>
    <cellStyle name="Excel Built-in Normal 1 39" xfId="131"/>
    <cellStyle name="Excel Built-in Normal 1 4" xfId="132"/>
    <cellStyle name="Excel Built-in Normal 1 4 2" xfId="133"/>
    <cellStyle name="Excel Built-in Normal 1 4 2 2" xfId="134"/>
    <cellStyle name="Excel Built-in Normal 1 4 2 2 2" xfId="135"/>
    <cellStyle name="Excel Built-in Normal 1 4 2 3" xfId="136"/>
    <cellStyle name="Excel Built-in Normal 1 4 3" xfId="137"/>
    <cellStyle name="Excel Built-in Normal 1 4 4" xfId="138"/>
    <cellStyle name="Excel Built-in Normal 1 4 5" xfId="139"/>
    <cellStyle name="Excel Built-in Normal 1 4 6" xfId="140"/>
    <cellStyle name="Excel Built-in Normal 1 4 7" xfId="141"/>
    <cellStyle name="Excel Built-in Normal 1 40" xfId="142"/>
    <cellStyle name="Excel Built-in Normal 1 41" xfId="143"/>
    <cellStyle name="Excel Built-in Normal 1 42" xfId="144"/>
    <cellStyle name="Excel Built-in Normal 1 43" xfId="145"/>
    <cellStyle name="Excel Built-in Normal 1 44" xfId="146"/>
    <cellStyle name="Excel Built-in Normal 1 45" xfId="147"/>
    <cellStyle name="Excel Built-in Normal 1 46" xfId="148"/>
    <cellStyle name="Excel Built-in Normal 1 47" xfId="149"/>
    <cellStyle name="Excel Built-in Normal 1 48" xfId="150"/>
    <cellStyle name="Excel Built-in Normal 1 49" xfId="151"/>
    <cellStyle name="Excel Built-in Normal 1 5" xfId="152"/>
    <cellStyle name="Excel Built-in Normal 1 5 2" xfId="153"/>
    <cellStyle name="Excel Built-in Normal 1 5 3" xfId="154"/>
    <cellStyle name="Excel Built-in Normal 1 5 4" xfId="155"/>
    <cellStyle name="Excel Built-in Normal 1 5 5" xfId="156"/>
    <cellStyle name="Excel Built-in Normal 1 5 6" xfId="157"/>
    <cellStyle name="Excel Built-in Normal 1 50" xfId="158"/>
    <cellStyle name="Excel Built-in Normal 1 51" xfId="159"/>
    <cellStyle name="Excel Built-in Normal 1 52" xfId="160"/>
    <cellStyle name="Excel Built-in Normal 1 53" xfId="161"/>
    <cellStyle name="Excel Built-in Normal 1 54" xfId="162"/>
    <cellStyle name="Excel Built-in Normal 1 55" xfId="163"/>
    <cellStyle name="Excel Built-in Normal 1 56" xfId="164"/>
    <cellStyle name="Excel Built-in Normal 1 57" xfId="165"/>
    <cellStyle name="Excel Built-in Normal 1 58" xfId="166"/>
    <cellStyle name="Excel Built-in Normal 1 59" xfId="167"/>
    <cellStyle name="Excel Built-in Normal 1 6" xfId="168"/>
    <cellStyle name="Excel Built-in Normal 1 6 2" xfId="169"/>
    <cellStyle name="Excel Built-in Normal 1 6 3" xfId="170"/>
    <cellStyle name="Excel Built-in Normal 1 6 4" xfId="171"/>
    <cellStyle name="Excel Built-in Normal 1 6 5" xfId="172"/>
    <cellStyle name="Excel Built-in Normal 1 6 6" xfId="173"/>
    <cellStyle name="Excel Built-in Normal 1 60" xfId="174"/>
    <cellStyle name="Excel Built-in Normal 1 61" xfId="175"/>
    <cellStyle name="Excel Built-in Normal 1 7" xfId="176"/>
    <cellStyle name="Excel Built-in Normal 1 7 2" xfId="177"/>
    <cellStyle name="Excel Built-in Normal 1 7 3" xfId="178"/>
    <cellStyle name="Excel Built-in Normal 1 7 4" xfId="179"/>
    <cellStyle name="Excel Built-in Normal 1 7 5" xfId="180"/>
    <cellStyle name="Excel Built-in Normal 1 7 6" xfId="181"/>
    <cellStyle name="Excel Built-in Normal 1 8" xfId="182"/>
    <cellStyle name="Excel Built-in Normal 1 9" xfId="183"/>
    <cellStyle name="Excel Built-in Normal 10" xfId="184"/>
    <cellStyle name="Excel Built-in Normal 11" xfId="185"/>
    <cellStyle name="Excel Built-in Normal 12" xfId="186"/>
    <cellStyle name="Excel Built-in Normal 13" xfId="187"/>
    <cellStyle name="Excel Built-in Normal 14" xfId="188"/>
    <cellStyle name="Excel Built-in Normal 15" xfId="189"/>
    <cellStyle name="Excel Built-in Normal 16" xfId="190"/>
    <cellStyle name="Excel Built-in Normal 17" xfId="191"/>
    <cellStyle name="Excel Built-in Normal 18" xfId="192"/>
    <cellStyle name="Excel Built-in Normal 19" xfId="193"/>
    <cellStyle name="Excel Built-in Normal 2" xfId="194"/>
    <cellStyle name="Excel Built-in Normal 2 2" xfId="195"/>
    <cellStyle name="Excel Built-in Normal 2 2 2" xfId="196"/>
    <cellStyle name="Excel Built-in Normal 2 2 3" xfId="197"/>
    <cellStyle name="Excel Built-in Normal 2 2 4" xfId="198"/>
    <cellStyle name="Excel Built-in Normal 2 2 5" xfId="199"/>
    <cellStyle name="Excel Built-in Normal 2 2 6" xfId="200"/>
    <cellStyle name="Excel Built-in Normal 2 3" xfId="201"/>
    <cellStyle name="Excel Built-in Normal 2 3 2" xfId="202"/>
    <cellStyle name="Excel Built-in Normal 2 3 3" xfId="203"/>
    <cellStyle name="Excel Built-in Normal 2 3 4" xfId="204"/>
    <cellStyle name="Excel Built-in Normal 2 3 5" xfId="205"/>
    <cellStyle name="Excel Built-in Normal 2 3 6" xfId="206"/>
    <cellStyle name="Excel Built-in Normal 2 4" xfId="207"/>
    <cellStyle name="Excel Built-in Normal 2 5" xfId="208"/>
    <cellStyle name="Excel Built-in Normal 2 6" xfId="209"/>
    <cellStyle name="Excel Built-in Normal 2 7" xfId="210"/>
    <cellStyle name="Excel Built-in Normal 20" xfId="211"/>
    <cellStyle name="Excel Built-in Normal 21" xfId="212"/>
    <cellStyle name="Excel Built-in Normal 22" xfId="213"/>
    <cellStyle name="Excel Built-in Normal 23" xfId="214"/>
    <cellStyle name="Excel Built-in Normal 24" xfId="215"/>
    <cellStyle name="Excel Built-in Normal 25" xfId="216"/>
    <cellStyle name="Excel Built-in Normal 26" xfId="217"/>
    <cellStyle name="Excel Built-in Normal 27" xfId="218"/>
    <cellStyle name="Excel Built-in Normal 28" xfId="219"/>
    <cellStyle name="Excel Built-in Normal 29" xfId="220"/>
    <cellStyle name="Excel Built-in Normal 3" xfId="221"/>
    <cellStyle name="Excel Built-in Normal 3 10" xfId="222"/>
    <cellStyle name="Excel Built-in Normal 3 11" xfId="223"/>
    <cellStyle name="Excel Built-in Normal 3 2" xfId="224"/>
    <cellStyle name="Excel Built-in Normal 3 2 2" xfId="225"/>
    <cellStyle name="Excel Built-in Normal 3 2 2 2" xfId="226"/>
    <cellStyle name="Excel Built-in Normal 3 2 3" xfId="227"/>
    <cellStyle name="Excel Built-in Normal 3 3" xfId="228"/>
    <cellStyle name="Excel Built-in Normal 3 4" xfId="229"/>
    <cellStyle name="Excel Built-in Normal 3 5" xfId="230"/>
    <cellStyle name="Excel Built-in Normal 3 6" xfId="231"/>
    <cellStyle name="Excel Built-in Normal 3 7" xfId="232"/>
    <cellStyle name="Excel Built-in Normal 3 8" xfId="233"/>
    <cellStyle name="Excel Built-in Normal 3 9" xfId="234"/>
    <cellStyle name="Excel Built-in Normal 30" xfId="235"/>
    <cellStyle name="Excel Built-in Normal 31" xfId="236"/>
    <cellStyle name="Excel Built-in Normal 32" xfId="237"/>
    <cellStyle name="Excel Built-in Normal 33" xfId="238"/>
    <cellStyle name="Excel Built-in Normal 34" xfId="239"/>
    <cellStyle name="Excel Built-in Normal 35" xfId="240"/>
    <cellStyle name="Excel Built-in Normal 36" xfId="241"/>
    <cellStyle name="Excel Built-in Normal 37" xfId="242"/>
    <cellStyle name="Excel Built-in Normal 38" xfId="243"/>
    <cellStyle name="Excel Built-in Normal 39" xfId="244"/>
    <cellStyle name="Excel Built-in Normal 4" xfId="245"/>
    <cellStyle name="Excel Built-in Normal 4 2" xfId="246"/>
    <cellStyle name="Excel Built-in Normal 4 2 2" xfId="247"/>
    <cellStyle name="Excel Built-in Normal 4 2 2 2" xfId="248"/>
    <cellStyle name="Excel Built-in Normal 4 2 2 3" xfId="249"/>
    <cellStyle name="Excel Built-in Normal 4 2 2 4" xfId="250"/>
    <cellStyle name="Excel Built-in Normal 4 2 2 5" xfId="251"/>
    <cellStyle name="Excel Built-in Normal 4 2 2 6" xfId="252"/>
    <cellStyle name="Excel Built-in Normal 4 2 3" xfId="253"/>
    <cellStyle name="Excel Built-in Normal 4 2 4" xfId="254"/>
    <cellStyle name="Excel Built-in Normal 4 2 5" xfId="255"/>
    <cellStyle name="Excel Built-in Normal 4 2 6" xfId="256"/>
    <cellStyle name="Excel Built-in Normal 4 3" xfId="257"/>
    <cellStyle name="Excel Built-in Normal 4 4" xfId="258"/>
    <cellStyle name="Excel Built-in Normal 4 5" xfId="259"/>
    <cellStyle name="Excel Built-in Normal 4 6" xfId="260"/>
    <cellStyle name="Excel Built-in Normal 4 7" xfId="261"/>
    <cellStyle name="Excel Built-in Normal 40" xfId="262"/>
    <cellStyle name="Excel Built-in Normal 41" xfId="263"/>
    <cellStyle name="Excel Built-in Normal 42" xfId="264"/>
    <cellStyle name="Excel Built-in Normal 43" xfId="265"/>
    <cellStyle name="Excel Built-in Normal 44" xfId="266"/>
    <cellStyle name="Excel Built-in Normal 45" xfId="267"/>
    <cellStyle name="Excel Built-in Normal 46" xfId="268"/>
    <cellStyle name="Excel Built-in Normal 47" xfId="269"/>
    <cellStyle name="Excel Built-in Normal 48" xfId="270"/>
    <cellStyle name="Excel Built-in Normal 49" xfId="271"/>
    <cellStyle name="Excel Built-in Normal 5" xfId="272"/>
    <cellStyle name="Excel Built-in Normal 50" xfId="273"/>
    <cellStyle name="Excel Built-in Normal 51" xfId="274"/>
    <cellStyle name="Excel Built-in Normal 52" xfId="275"/>
    <cellStyle name="Excel Built-in Normal 53" xfId="276"/>
    <cellStyle name="Excel Built-in Normal 6" xfId="277"/>
    <cellStyle name="Excel Built-in Normal 7" xfId="278"/>
    <cellStyle name="Excel Built-in Normal 7 2" xfId="279"/>
    <cellStyle name="Excel Built-in Normal 7 3" xfId="280"/>
    <cellStyle name="Excel Built-in Normal 7 4" xfId="281"/>
    <cellStyle name="Excel Built-in Normal 7 5" xfId="282"/>
    <cellStyle name="Excel Built-in Normal 7 6" xfId="283"/>
    <cellStyle name="Excel Built-in Normal 8" xfId="284"/>
    <cellStyle name="Excel Built-in Normal 8 2" xfId="285"/>
    <cellStyle name="Excel Built-in Normal 8 3" xfId="286"/>
    <cellStyle name="Excel Built-in Normal 8 4" xfId="287"/>
    <cellStyle name="Excel Built-in Normal 8 5" xfId="288"/>
    <cellStyle name="Excel Built-in Normal 8 6" xfId="289"/>
    <cellStyle name="Excel Built-in Normal 9" xfId="290"/>
    <cellStyle name="Excel Built-in Normal 9 2" xfId="291"/>
    <cellStyle name="Excel Built-in Normal 9 3" xfId="292"/>
    <cellStyle name="Excel Built-in Normal 9 4" xfId="293"/>
    <cellStyle name="Excel Built-in Normal 9 5" xfId="294"/>
    <cellStyle name="Excel Built-in Normal 9 6" xfId="295"/>
    <cellStyle name="Excel_BuiltIn_Comma" xfId="296"/>
    <cellStyle name="Heading" xfId="297"/>
    <cellStyle name="Heading 1" xfId="298"/>
    <cellStyle name="Heading 2" xfId="299"/>
    <cellStyle name="Heading 2 2" xfId="300"/>
    <cellStyle name="Heading 2 3" xfId="301"/>
    <cellStyle name="Heading 2 4" xfId="302"/>
    <cellStyle name="Heading 2 5" xfId="303"/>
    <cellStyle name="Heading 2 6" xfId="304"/>
    <cellStyle name="Heading 3" xfId="305"/>
    <cellStyle name="Heading 4" xfId="306"/>
    <cellStyle name="Heading 5" xfId="307"/>
    <cellStyle name="Heading 6" xfId="308"/>
    <cellStyle name="Heading1" xfId="309"/>
    <cellStyle name="Heading1 1" xfId="310"/>
    <cellStyle name="Heading1 2" xfId="311"/>
    <cellStyle name="Heading1 2 2" xfId="312"/>
    <cellStyle name="Heading1 2 3" xfId="313"/>
    <cellStyle name="Heading1 2 4" xfId="314"/>
    <cellStyle name="Heading1 2 5" xfId="315"/>
    <cellStyle name="Heading1 2 6" xfId="316"/>
    <cellStyle name="Heading1 3" xfId="317"/>
    <cellStyle name="Heading1 4" xfId="318"/>
    <cellStyle name="Heading1 5" xfId="319"/>
    <cellStyle name="Heading1 6" xfId="320"/>
    <cellStyle name="Millares" xfId="321" builtinId="3"/>
    <cellStyle name="Millares 10" xfId="322"/>
    <cellStyle name="Millares 10 2" xfId="323"/>
    <cellStyle name="Millares 11" xfId="324"/>
    <cellStyle name="Millares 12" xfId="325"/>
    <cellStyle name="Millares 12 10" xfId="326"/>
    <cellStyle name="Millares 12 11" xfId="327"/>
    <cellStyle name="Millares 12 12" xfId="328"/>
    <cellStyle name="Millares 12 13" xfId="329"/>
    <cellStyle name="Millares 12 14" xfId="330"/>
    <cellStyle name="Millares 12 15" xfId="331"/>
    <cellStyle name="Millares 12 16" xfId="332"/>
    <cellStyle name="Millares 12 17" xfId="333"/>
    <cellStyle name="Millares 12 18" xfId="334"/>
    <cellStyle name="Millares 12 19" xfId="335"/>
    <cellStyle name="Millares 12 2" xfId="336"/>
    <cellStyle name="Millares 12 2 2" xfId="337"/>
    <cellStyle name="Millares 12 20" xfId="338"/>
    <cellStyle name="Millares 12 21" xfId="339"/>
    <cellStyle name="Millares 12 22" xfId="340"/>
    <cellStyle name="Millares 12 23" xfId="341"/>
    <cellStyle name="Millares 12 24" xfId="342"/>
    <cellStyle name="Millares 12 25" xfId="343"/>
    <cellStyle name="Millares 12 26" xfId="344"/>
    <cellStyle name="Millares 12 27" xfId="345"/>
    <cellStyle name="Millares 12 28" xfId="346"/>
    <cellStyle name="Millares 12 29" xfId="347"/>
    <cellStyle name="Millares 12 3" xfId="348"/>
    <cellStyle name="Millares 12 30" xfId="349"/>
    <cellStyle name="Millares 12 31" xfId="350"/>
    <cellStyle name="Millares 12 32" xfId="351"/>
    <cellStyle name="Millares 12 33" xfId="352"/>
    <cellStyle name="Millares 12 34" xfId="353"/>
    <cellStyle name="Millares 12 35" xfId="354"/>
    <cellStyle name="Millares 12 36" xfId="355"/>
    <cellStyle name="Millares 12 37" xfId="356"/>
    <cellStyle name="Millares 12 38" xfId="357"/>
    <cellStyle name="Millares 12 39" xfId="358"/>
    <cellStyle name="Millares 12 4" xfId="359"/>
    <cellStyle name="Millares 12 5" xfId="360"/>
    <cellStyle name="Millares 12 6" xfId="361"/>
    <cellStyle name="Millares 12 7" xfId="362"/>
    <cellStyle name="Millares 12 8" xfId="363"/>
    <cellStyle name="Millares 12 9" xfId="364"/>
    <cellStyle name="Millares 13" xfId="365"/>
    <cellStyle name="Millares 16" xfId="366"/>
    <cellStyle name="Millares 16 10" xfId="367"/>
    <cellStyle name="Millares 16 11" xfId="368"/>
    <cellStyle name="Millares 16 12" xfId="369"/>
    <cellStyle name="Millares 16 13" xfId="370"/>
    <cellStyle name="Millares 16 14" xfId="371"/>
    <cellStyle name="Millares 16 15" xfId="372"/>
    <cellStyle name="Millares 16 16" xfId="373"/>
    <cellStyle name="Millares 16 17" xfId="374"/>
    <cellStyle name="Millares 16 18" xfId="375"/>
    <cellStyle name="Millares 16 19" xfId="376"/>
    <cellStyle name="Millares 16 2" xfId="377"/>
    <cellStyle name="Millares 16 2 2" xfId="378"/>
    <cellStyle name="Millares 16 20" xfId="379"/>
    <cellStyle name="Millares 16 21" xfId="380"/>
    <cellStyle name="Millares 16 22" xfId="381"/>
    <cellStyle name="Millares 16 23" xfId="382"/>
    <cellStyle name="Millares 16 24" xfId="383"/>
    <cellStyle name="Millares 16 25" xfId="384"/>
    <cellStyle name="Millares 16 26" xfId="385"/>
    <cellStyle name="Millares 16 27" xfId="386"/>
    <cellStyle name="Millares 16 28" xfId="387"/>
    <cellStyle name="Millares 16 29" xfId="388"/>
    <cellStyle name="Millares 16 3" xfId="389"/>
    <cellStyle name="Millares 16 30" xfId="390"/>
    <cellStyle name="Millares 16 31" xfId="391"/>
    <cellStyle name="Millares 16 32" xfId="392"/>
    <cellStyle name="Millares 16 33" xfId="393"/>
    <cellStyle name="Millares 16 34" xfId="394"/>
    <cellStyle name="Millares 16 35" xfId="395"/>
    <cellStyle name="Millares 16 36" xfId="396"/>
    <cellStyle name="Millares 16 37" xfId="397"/>
    <cellStyle name="Millares 16 38" xfId="398"/>
    <cellStyle name="Millares 16 39" xfId="399"/>
    <cellStyle name="Millares 16 4" xfId="400"/>
    <cellStyle name="Millares 16 5" xfId="401"/>
    <cellStyle name="Millares 16 6" xfId="402"/>
    <cellStyle name="Millares 16 7" xfId="403"/>
    <cellStyle name="Millares 16 8" xfId="404"/>
    <cellStyle name="Millares 16 9" xfId="405"/>
    <cellStyle name="Millares 19" xfId="406"/>
    <cellStyle name="Millares 19 10" xfId="407"/>
    <cellStyle name="Millares 19 11" xfId="408"/>
    <cellStyle name="Millares 19 12" xfId="409"/>
    <cellStyle name="Millares 19 13" xfId="410"/>
    <cellStyle name="Millares 19 14" xfId="411"/>
    <cellStyle name="Millares 19 15" xfId="412"/>
    <cellStyle name="Millares 19 16" xfId="413"/>
    <cellStyle name="Millares 19 17" xfId="414"/>
    <cellStyle name="Millares 19 18" xfId="415"/>
    <cellStyle name="Millares 19 19" xfId="416"/>
    <cellStyle name="Millares 19 2" xfId="417"/>
    <cellStyle name="Millares 19 2 2" xfId="418"/>
    <cellStyle name="Millares 19 20" xfId="419"/>
    <cellStyle name="Millares 19 21" xfId="420"/>
    <cellStyle name="Millares 19 22" xfId="421"/>
    <cellStyle name="Millares 19 23" xfId="422"/>
    <cellStyle name="Millares 19 24" xfId="423"/>
    <cellStyle name="Millares 19 25" xfId="424"/>
    <cellStyle name="Millares 19 26" xfId="425"/>
    <cellStyle name="Millares 19 27" xfId="426"/>
    <cellStyle name="Millares 19 28" xfId="427"/>
    <cellStyle name="Millares 19 29" xfId="428"/>
    <cellStyle name="Millares 19 3" xfId="429"/>
    <cellStyle name="Millares 19 30" xfId="430"/>
    <cellStyle name="Millares 19 31" xfId="431"/>
    <cellStyle name="Millares 19 32" xfId="432"/>
    <cellStyle name="Millares 19 33" xfId="433"/>
    <cellStyle name="Millares 19 34" xfId="434"/>
    <cellStyle name="Millares 19 35" xfId="435"/>
    <cellStyle name="Millares 19 36" xfId="436"/>
    <cellStyle name="Millares 19 37" xfId="437"/>
    <cellStyle name="Millares 19 38" xfId="438"/>
    <cellStyle name="Millares 19 39" xfId="439"/>
    <cellStyle name="Millares 19 4" xfId="440"/>
    <cellStyle name="Millares 19 5" xfId="441"/>
    <cellStyle name="Millares 19 6" xfId="442"/>
    <cellStyle name="Millares 19 7" xfId="443"/>
    <cellStyle name="Millares 19 8" xfId="444"/>
    <cellStyle name="Millares 19 9" xfId="445"/>
    <cellStyle name="Millares 2" xfId="446"/>
    <cellStyle name="Millares 2 10" xfId="447"/>
    <cellStyle name="Millares 2 10 2" xfId="448"/>
    <cellStyle name="Millares 2 10 3" xfId="449"/>
    <cellStyle name="Millares 2 10 4" xfId="450"/>
    <cellStyle name="Millares 2 10 5" xfId="451"/>
    <cellStyle name="Millares 2 10 6" xfId="452"/>
    <cellStyle name="Millares 2 10 7" xfId="453"/>
    <cellStyle name="Millares 2 100" xfId="454"/>
    <cellStyle name="Millares 2 101" xfId="455"/>
    <cellStyle name="Millares 2 102" xfId="456"/>
    <cellStyle name="Millares 2 103" xfId="457"/>
    <cellStyle name="Millares 2 104" xfId="458"/>
    <cellStyle name="Millares 2 105" xfId="459"/>
    <cellStyle name="Millares 2 106" xfId="460"/>
    <cellStyle name="Millares 2 11" xfId="461"/>
    <cellStyle name="Millares 2 11 2" xfId="462"/>
    <cellStyle name="Millares 2 11 3" xfId="463"/>
    <cellStyle name="Millares 2 11 4" xfId="464"/>
    <cellStyle name="Millares 2 11 5" xfId="465"/>
    <cellStyle name="Millares 2 11 6" xfId="466"/>
    <cellStyle name="Millares 2 11 7" xfId="467"/>
    <cellStyle name="Millares 2 12" xfId="468"/>
    <cellStyle name="Millares 2 12 2" xfId="469"/>
    <cellStyle name="Millares 2 12 3" xfId="470"/>
    <cellStyle name="Millares 2 12 4" xfId="471"/>
    <cellStyle name="Millares 2 12 5" xfId="472"/>
    <cellStyle name="Millares 2 12 6" xfId="473"/>
    <cellStyle name="Millares 2 12 7" xfId="474"/>
    <cellStyle name="Millares 2 13" xfId="475"/>
    <cellStyle name="Millares 2 13 2" xfId="476"/>
    <cellStyle name="Millares 2 13 3" xfId="477"/>
    <cellStyle name="Millares 2 13 4" xfId="478"/>
    <cellStyle name="Millares 2 13 5" xfId="479"/>
    <cellStyle name="Millares 2 13 6" xfId="480"/>
    <cellStyle name="Millares 2 13 7" xfId="481"/>
    <cellStyle name="Millares 2 14" xfId="482"/>
    <cellStyle name="Millares 2 14 2" xfId="483"/>
    <cellStyle name="Millares 2 14 3" xfId="484"/>
    <cellStyle name="Millares 2 14 4" xfId="485"/>
    <cellStyle name="Millares 2 14 5" xfId="486"/>
    <cellStyle name="Millares 2 14 6" xfId="487"/>
    <cellStyle name="Millares 2 14 7" xfId="488"/>
    <cellStyle name="Millares 2 15" xfId="489"/>
    <cellStyle name="Millares 2 15 2" xfId="490"/>
    <cellStyle name="Millares 2 15 3" xfId="491"/>
    <cellStyle name="Millares 2 15 4" xfId="492"/>
    <cellStyle name="Millares 2 15 5" xfId="493"/>
    <cellStyle name="Millares 2 15 6" xfId="494"/>
    <cellStyle name="Millares 2 15 7" xfId="495"/>
    <cellStyle name="Millares 2 16" xfId="496"/>
    <cellStyle name="Millares 2 16 2" xfId="497"/>
    <cellStyle name="Millares 2 16 3" xfId="498"/>
    <cellStyle name="Millares 2 16 4" xfId="499"/>
    <cellStyle name="Millares 2 16 5" xfId="500"/>
    <cellStyle name="Millares 2 16 6" xfId="501"/>
    <cellStyle name="Millares 2 16 7" xfId="502"/>
    <cellStyle name="Millares 2 17" xfId="503"/>
    <cellStyle name="Millares 2 17 2" xfId="504"/>
    <cellStyle name="Millares 2 17 3" xfId="505"/>
    <cellStyle name="Millares 2 17 4" xfId="506"/>
    <cellStyle name="Millares 2 17 5" xfId="507"/>
    <cellStyle name="Millares 2 17 6" xfId="508"/>
    <cellStyle name="Millares 2 17 7" xfId="509"/>
    <cellStyle name="Millares 2 18" xfId="510"/>
    <cellStyle name="Millares 2 18 2" xfId="511"/>
    <cellStyle name="Millares 2 18 3" xfId="512"/>
    <cellStyle name="Millares 2 18 4" xfId="513"/>
    <cellStyle name="Millares 2 18 5" xfId="514"/>
    <cellStyle name="Millares 2 18 6" xfId="515"/>
    <cellStyle name="Millares 2 18 7" xfId="516"/>
    <cellStyle name="Millares 2 19" xfId="517"/>
    <cellStyle name="Millares 2 19 2" xfId="518"/>
    <cellStyle name="Millares 2 2" xfId="519"/>
    <cellStyle name="Millares 2 2 10" xfId="520"/>
    <cellStyle name="Millares 2 2 11" xfId="521"/>
    <cellStyle name="Millares 2 2 12" xfId="522"/>
    <cellStyle name="Millares 2 2 13" xfId="523"/>
    <cellStyle name="Millares 2 2 14" xfId="524"/>
    <cellStyle name="Millares 2 2 14 2" xfId="525"/>
    <cellStyle name="Millares 2 2 15" xfId="526"/>
    <cellStyle name="Millares 2 2 15 2" xfId="527"/>
    <cellStyle name="Millares 2 2 16" xfId="528"/>
    <cellStyle name="Millares 2 2 16 2" xfId="529"/>
    <cellStyle name="Millares 2 2 17" xfId="530"/>
    <cellStyle name="Millares 2 2 17 2" xfId="531"/>
    <cellStyle name="Millares 2 2 18" xfId="532"/>
    <cellStyle name="Millares 2 2 18 2" xfId="533"/>
    <cellStyle name="Millares 2 2 19" xfId="534"/>
    <cellStyle name="Millares 2 2 2" xfId="535"/>
    <cellStyle name="Millares 2 2 2 2" xfId="536"/>
    <cellStyle name="Millares 2 2 2 2 2" xfId="537"/>
    <cellStyle name="Millares 2 2 2 2 2 2" xfId="538"/>
    <cellStyle name="Millares 2 2 2 3" xfId="539"/>
    <cellStyle name="Millares 2 2 2 4" xfId="540"/>
    <cellStyle name="Millares 2 2 3" xfId="541"/>
    <cellStyle name="Millares 2 2 3 2" xfId="542"/>
    <cellStyle name="Millares 2 2 4" xfId="543"/>
    <cellStyle name="Millares 2 2 4 2" xfId="544"/>
    <cellStyle name="Millares 2 2 5" xfId="545"/>
    <cellStyle name="Millares 2 2 5 2" xfId="546"/>
    <cellStyle name="Millares 2 2 6" xfId="547"/>
    <cellStyle name="Millares 2 2 6 2" xfId="548"/>
    <cellStyle name="Millares 2 2 6 2 2" xfId="549"/>
    <cellStyle name="Millares 2 2 6 3" xfId="550"/>
    <cellStyle name="Millares 2 2 6 4" xfId="551"/>
    <cellStyle name="Millares 2 2 6 5" xfId="552"/>
    <cellStyle name="Millares 2 2 6 6" xfId="553"/>
    <cellStyle name="Millares 2 2 6 7" xfId="554"/>
    <cellStyle name="Millares 2 2 7" xfId="555"/>
    <cellStyle name="Millares 2 2 8" xfId="556"/>
    <cellStyle name="Millares 2 2 9" xfId="557"/>
    <cellStyle name="Millares 2 20" xfId="558"/>
    <cellStyle name="Millares 2 20 2" xfId="559"/>
    <cellStyle name="Millares 2 21" xfId="560"/>
    <cellStyle name="Millares 2 22" xfId="561"/>
    <cellStyle name="Millares 2 23" xfId="562"/>
    <cellStyle name="Millares 2 24" xfId="563"/>
    <cellStyle name="Millares 2 25" xfId="564"/>
    <cellStyle name="Millares 2 26" xfId="565"/>
    <cellStyle name="Millares 2 27" xfId="566"/>
    <cellStyle name="Millares 2 28" xfId="567"/>
    <cellStyle name="Millares 2 29" xfId="568"/>
    <cellStyle name="Millares 2 3" xfId="569"/>
    <cellStyle name="Millares 2 3 10" xfId="570"/>
    <cellStyle name="Millares 2 3 11" xfId="571"/>
    <cellStyle name="Millares 2 3 12" xfId="572"/>
    <cellStyle name="Millares 2 3 13" xfId="573"/>
    <cellStyle name="Millares 2 3 14" xfId="574"/>
    <cellStyle name="Millares 2 3 15" xfId="575"/>
    <cellStyle name="Millares 2 3 16" xfId="576"/>
    <cellStyle name="Millares 2 3 17" xfId="577"/>
    <cellStyle name="Millares 2 3 18" xfId="578"/>
    <cellStyle name="Millares 2 3 2" xfId="579"/>
    <cellStyle name="Millares 2 3 2 2" xfId="580"/>
    <cellStyle name="Millares 2 3 2 2 2" xfId="581"/>
    <cellStyle name="Millares 2 3 2 2 3" xfId="582"/>
    <cellStyle name="Millares 2 3 2 2 4" xfId="583"/>
    <cellStyle name="Millares 2 3 2 2 5" xfId="584"/>
    <cellStyle name="Millares 2 3 2 2 6" xfId="585"/>
    <cellStyle name="Millares 2 3 2 3" xfId="586"/>
    <cellStyle name="Millares 2 3 2 4" xfId="587"/>
    <cellStyle name="Millares 2 3 2 5" xfId="588"/>
    <cellStyle name="Millares 2 3 2 6" xfId="589"/>
    <cellStyle name="Millares 2 3 3" xfId="590"/>
    <cellStyle name="Millares 2 3 3 2" xfId="591"/>
    <cellStyle name="Millares 2 3 4" xfId="592"/>
    <cellStyle name="Millares 2 3 4 2" xfId="593"/>
    <cellStyle name="Millares 2 3 5" xfId="594"/>
    <cellStyle name="Millares 2 3 5 2" xfId="595"/>
    <cellStyle name="Millares 2 3 6" xfId="596"/>
    <cellStyle name="Millares 2 3 6 2" xfId="597"/>
    <cellStyle name="Millares 2 3 6 3" xfId="598"/>
    <cellStyle name="Millares 2 3 6 4" xfId="599"/>
    <cellStyle name="Millares 2 3 6 5" xfId="600"/>
    <cellStyle name="Millares 2 3 6 6" xfId="601"/>
    <cellStyle name="Millares 2 3 7" xfId="602"/>
    <cellStyle name="Millares 2 3 8" xfId="603"/>
    <cellStyle name="Millares 2 3 9" xfId="604"/>
    <cellStyle name="Millares 2 30" xfId="605"/>
    <cellStyle name="Millares 2 31" xfId="606"/>
    <cellStyle name="Millares 2 32" xfId="607"/>
    <cellStyle name="Millares 2 33" xfId="608"/>
    <cellStyle name="Millares 2 34" xfId="609"/>
    <cellStyle name="Millares 2 35" xfId="610"/>
    <cellStyle name="Millares 2 36" xfId="611"/>
    <cellStyle name="Millares 2 37" xfId="612"/>
    <cellStyle name="Millares 2 38" xfId="613"/>
    <cellStyle name="Millares 2 39" xfId="614"/>
    <cellStyle name="Millares 2 4" xfId="615"/>
    <cellStyle name="Millares 2 4 10" xfId="616"/>
    <cellStyle name="Millares 2 4 11" xfId="617"/>
    <cellStyle name="Millares 2 4 12" xfId="618"/>
    <cellStyle name="Millares 2 4 13" xfId="619"/>
    <cellStyle name="Millares 2 4 14" xfId="620"/>
    <cellStyle name="Millares 2 4 15" xfId="621"/>
    <cellStyle name="Millares 2 4 16" xfId="622"/>
    <cellStyle name="Millares 2 4 17" xfId="623"/>
    <cellStyle name="Millares 2 4 2" xfId="624"/>
    <cellStyle name="Millares 2 4 2 2" xfId="625"/>
    <cellStyle name="Millares 2 4 2 2 2" xfId="626"/>
    <cellStyle name="Millares 2 4 2 3" xfId="627"/>
    <cellStyle name="Millares 2 4 3" xfId="628"/>
    <cellStyle name="Millares 2 4 4" xfId="629"/>
    <cellStyle name="Millares 2 4 5" xfId="630"/>
    <cellStyle name="Millares 2 4 6" xfId="631"/>
    <cellStyle name="Millares 2 4 7" xfId="632"/>
    <cellStyle name="Millares 2 4 8" xfId="633"/>
    <cellStyle name="Millares 2 4 9" xfId="634"/>
    <cellStyle name="Millares 2 40" xfId="635"/>
    <cellStyle name="Millares 2 41" xfId="636"/>
    <cellStyle name="Millares 2 42" xfId="637"/>
    <cellStyle name="Millares 2 43" xfId="638"/>
    <cellStyle name="Millares 2 44" xfId="639"/>
    <cellStyle name="Millares 2 45" xfId="640"/>
    <cellStyle name="Millares 2 46" xfId="641"/>
    <cellStyle name="Millares 2 47" xfId="642"/>
    <cellStyle name="Millares 2 48" xfId="643"/>
    <cellStyle name="Millares 2 49" xfId="644"/>
    <cellStyle name="Millares 2 5" xfId="645"/>
    <cellStyle name="Millares 2 5 2" xfId="646"/>
    <cellStyle name="Millares 2 50" xfId="647"/>
    <cellStyle name="Millares 2 51" xfId="648"/>
    <cellStyle name="Millares 2 52" xfId="649"/>
    <cellStyle name="Millares 2 53" xfId="650"/>
    <cellStyle name="Millares 2 54" xfId="651"/>
    <cellStyle name="Millares 2 55" xfId="652"/>
    <cellStyle name="Millares 2 56" xfId="653"/>
    <cellStyle name="Millares 2 57" xfId="654"/>
    <cellStyle name="Millares 2 58" xfId="655"/>
    <cellStyle name="Millares 2 58 2" xfId="656"/>
    <cellStyle name="Millares 2 59" xfId="657"/>
    <cellStyle name="Millares 2 6" xfId="658"/>
    <cellStyle name="Millares 2 6 2" xfId="659"/>
    <cellStyle name="Millares 2 6 2 2" xfId="660"/>
    <cellStyle name="Millares 2 6 2 2 2" xfId="661"/>
    <cellStyle name="Millares 2 6 2 3" xfId="662"/>
    <cellStyle name="Millares 2 6 3" xfId="663"/>
    <cellStyle name="Millares 2 6 4" xfId="664"/>
    <cellStyle name="Millares 2 6 5" xfId="665"/>
    <cellStyle name="Millares 2 6 6" xfId="666"/>
    <cellStyle name="Millares 2 6 7" xfId="667"/>
    <cellStyle name="Millares 2 6 8" xfId="668"/>
    <cellStyle name="Millares 2 6 9" xfId="669"/>
    <cellStyle name="Millares 2 60" xfId="670"/>
    <cellStyle name="Millares 2 61" xfId="671"/>
    <cellStyle name="Millares 2 62" xfId="672"/>
    <cellStyle name="Millares 2 63" xfId="673"/>
    <cellStyle name="Millares 2 64" xfId="674"/>
    <cellStyle name="Millares 2 65" xfId="675"/>
    <cellStyle name="Millares 2 66" xfId="676"/>
    <cellStyle name="Millares 2 67" xfId="677"/>
    <cellStyle name="Millares 2 68" xfId="678"/>
    <cellStyle name="Millares 2 69" xfId="679"/>
    <cellStyle name="Millares 2 7" xfId="680"/>
    <cellStyle name="Millares 2 7 2" xfId="681"/>
    <cellStyle name="Millares 2 7 2 2" xfId="682"/>
    <cellStyle name="Millares 2 7 2 2 2" xfId="683"/>
    <cellStyle name="Millares 2 7 2 3" xfId="684"/>
    <cellStyle name="Millares 2 7 3" xfId="685"/>
    <cellStyle name="Millares 2 7 4" xfId="686"/>
    <cellStyle name="Millares 2 7 5" xfId="687"/>
    <cellStyle name="Millares 2 7 6" xfId="688"/>
    <cellStyle name="Millares 2 7 7" xfId="689"/>
    <cellStyle name="Millares 2 7 8" xfId="690"/>
    <cellStyle name="Millares 2 7 9" xfId="691"/>
    <cellStyle name="Millares 2 70" xfId="692"/>
    <cellStyle name="Millares 2 71" xfId="693"/>
    <cellStyle name="Millares 2 72" xfId="694"/>
    <cellStyle name="Millares 2 73" xfId="695"/>
    <cellStyle name="Millares 2 74" xfId="696"/>
    <cellStyle name="Millares 2 75" xfId="697"/>
    <cellStyle name="Millares 2 76" xfId="698"/>
    <cellStyle name="Millares 2 77" xfId="699"/>
    <cellStyle name="Millares 2 78" xfId="700"/>
    <cellStyle name="Millares 2 79" xfId="701"/>
    <cellStyle name="Millares 2 8" xfId="702"/>
    <cellStyle name="Millares 2 8 2" xfId="703"/>
    <cellStyle name="Millares 2 8 2 2" xfId="704"/>
    <cellStyle name="Millares 2 8 2 2 2" xfId="705"/>
    <cellStyle name="Millares 2 8 2 3" xfId="706"/>
    <cellStyle name="Millares 2 8 3" xfId="707"/>
    <cellStyle name="Millares 2 8 4" xfId="708"/>
    <cellStyle name="Millares 2 8 5" xfId="709"/>
    <cellStyle name="Millares 2 8 6" xfId="710"/>
    <cellStyle name="Millares 2 8 7" xfId="711"/>
    <cellStyle name="Millares 2 8 8" xfId="712"/>
    <cellStyle name="Millares 2 80" xfId="713"/>
    <cellStyle name="Millares 2 81" xfId="714"/>
    <cellStyle name="Millares 2 82" xfId="715"/>
    <cellStyle name="Millares 2 83" xfId="716"/>
    <cellStyle name="Millares 2 84" xfId="717"/>
    <cellStyle name="Millares 2 85" xfId="718"/>
    <cellStyle name="Millares 2 86" xfId="719"/>
    <cellStyle name="Millares 2 87" xfId="720"/>
    <cellStyle name="Millares 2 88" xfId="721"/>
    <cellStyle name="Millares 2 89" xfId="722"/>
    <cellStyle name="Millares 2 9" xfId="723"/>
    <cellStyle name="Millares 2 9 2" xfId="724"/>
    <cellStyle name="Millares 2 9 3" xfId="725"/>
    <cellStyle name="Millares 2 9 4" xfId="726"/>
    <cellStyle name="Millares 2 9 5" xfId="727"/>
    <cellStyle name="Millares 2 9 6" xfId="728"/>
    <cellStyle name="Millares 2 9 7" xfId="729"/>
    <cellStyle name="Millares 2 90" xfId="730"/>
    <cellStyle name="Millares 2 91" xfId="731"/>
    <cellStyle name="Millares 2 92" xfId="732"/>
    <cellStyle name="Millares 2 93" xfId="733"/>
    <cellStyle name="Millares 2 94" xfId="734"/>
    <cellStyle name="Millares 2 95" xfId="735"/>
    <cellStyle name="Millares 2 96" xfId="736"/>
    <cellStyle name="Millares 2 97" xfId="737"/>
    <cellStyle name="Millares 2 98" xfId="738"/>
    <cellStyle name="Millares 2 99" xfId="739"/>
    <cellStyle name="Millares 20" xfId="740"/>
    <cellStyle name="Millares 21" xfId="741"/>
    <cellStyle name="Millares 26" xfId="742"/>
    <cellStyle name="Millares 26 10" xfId="743"/>
    <cellStyle name="Millares 26 11" xfId="744"/>
    <cellStyle name="Millares 26 12" xfId="745"/>
    <cellStyle name="Millares 26 13" xfId="746"/>
    <cellStyle name="Millares 26 14" xfId="747"/>
    <cellStyle name="Millares 26 15" xfId="748"/>
    <cellStyle name="Millares 26 16" xfId="749"/>
    <cellStyle name="Millares 26 17" xfId="750"/>
    <cellStyle name="Millares 26 18" xfId="751"/>
    <cellStyle name="Millares 26 19" xfId="752"/>
    <cellStyle name="Millares 26 2" xfId="753"/>
    <cellStyle name="Millares 26 2 2" xfId="754"/>
    <cellStyle name="Millares 26 20" xfId="755"/>
    <cellStyle name="Millares 26 21" xfId="756"/>
    <cellStyle name="Millares 26 22" xfId="757"/>
    <cellStyle name="Millares 26 23" xfId="758"/>
    <cellStyle name="Millares 26 24" xfId="759"/>
    <cellStyle name="Millares 26 25" xfId="760"/>
    <cellStyle name="Millares 26 26" xfId="761"/>
    <cellStyle name="Millares 26 27" xfId="762"/>
    <cellStyle name="Millares 26 28" xfId="763"/>
    <cellStyle name="Millares 26 29" xfId="764"/>
    <cellStyle name="Millares 26 3" xfId="765"/>
    <cellStyle name="Millares 26 30" xfId="766"/>
    <cellStyle name="Millares 26 31" xfId="767"/>
    <cellStyle name="Millares 26 32" xfId="768"/>
    <cellStyle name="Millares 26 33" xfId="769"/>
    <cellStyle name="Millares 26 34" xfId="770"/>
    <cellStyle name="Millares 26 35" xfId="771"/>
    <cellStyle name="Millares 26 36" xfId="772"/>
    <cellStyle name="Millares 26 37" xfId="773"/>
    <cellStyle name="Millares 26 38" xfId="774"/>
    <cellStyle name="Millares 26 39" xfId="775"/>
    <cellStyle name="Millares 26 4" xfId="776"/>
    <cellStyle name="Millares 26 5" xfId="777"/>
    <cellStyle name="Millares 26 6" xfId="778"/>
    <cellStyle name="Millares 26 7" xfId="779"/>
    <cellStyle name="Millares 26 8" xfId="780"/>
    <cellStyle name="Millares 26 9" xfId="781"/>
    <cellStyle name="Millares 3" xfId="782"/>
    <cellStyle name="Millares 3 10" xfId="783"/>
    <cellStyle name="Millares 3 11" xfId="784"/>
    <cellStyle name="Millares 3 12" xfId="785"/>
    <cellStyle name="Millares 3 13" xfId="786"/>
    <cellStyle name="Millares 3 14" xfId="787"/>
    <cellStyle name="Millares 3 15" xfId="788"/>
    <cellStyle name="Millares 3 2" xfId="789"/>
    <cellStyle name="Millares 3 2 2" xfId="790"/>
    <cellStyle name="Millares 3 2 2 2" xfId="791"/>
    <cellStyle name="Millares 3 2 2 3" xfId="792"/>
    <cellStyle name="Millares 3 2 2 4" xfId="793"/>
    <cellStyle name="Millares 3 2 2 5" xfId="794"/>
    <cellStyle name="Millares 3 2 2 6" xfId="795"/>
    <cellStyle name="Millares 3 2 3" xfId="796"/>
    <cellStyle name="Millares 3 2 4" xfId="797"/>
    <cellStyle name="Millares 3 2 5" xfId="798"/>
    <cellStyle name="Millares 3 2 6" xfId="799"/>
    <cellStyle name="Millares 3 3" xfId="800"/>
    <cellStyle name="Millares 3 4" xfId="801"/>
    <cellStyle name="Millares 3 5" xfId="802"/>
    <cellStyle name="Millares 3 6" xfId="803"/>
    <cellStyle name="Millares 3 7" xfId="804"/>
    <cellStyle name="Millares 3 8" xfId="805"/>
    <cellStyle name="Millares 3 9" xfId="806"/>
    <cellStyle name="Millares 30" xfId="807"/>
    <cellStyle name="Millares 31" xfId="808"/>
    <cellStyle name="Millares 31 10" xfId="809"/>
    <cellStyle name="Millares 31 11" xfId="810"/>
    <cellStyle name="Millares 31 12" xfId="811"/>
    <cellStyle name="Millares 31 13" xfId="812"/>
    <cellStyle name="Millares 31 14" xfId="813"/>
    <cellStyle name="Millares 31 15" xfId="814"/>
    <cellStyle name="Millares 31 16" xfId="815"/>
    <cellStyle name="Millares 31 17" xfId="816"/>
    <cellStyle name="Millares 31 18" xfId="817"/>
    <cellStyle name="Millares 31 19" xfId="818"/>
    <cellStyle name="Millares 31 2" xfId="819"/>
    <cellStyle name="Millares 31 2 2" xfId="820"/>
    <cellStyle name="Millares 31 20" xfId="821"/>
    <cellStyle name="Millares 31 21" xfId="822"/>
    <cellStyle name="Millares 31 22" xfId="823"/>
    <cellStyle name="Millares 31 23" xfId="824"/>
    <cellStyle name="Millares 31 24" xfId="825"/>
    <cellStyle name="Millares 31 25" xfId="826"/>
    <cellStyle name="Millares 31 26" xfId="827"/>
    <cellStyle name="Millares 31 27" xfId="828"/>
    <cellStyle name="Millares 31 28" xfId="829"/>
    <cellStyle name="Millares 31 29" xfId="830"/>
    <cellStyle name="Millares 31 3" xfId="831"/>
    <cellStyle name="Millares 31 30" xfId="832"/>
    <cellStyle name="Millares 31 31" xfId="833"/>
    <cellStyle name="Millares 31 32" xfId="834"/>
    <cellStyle name="Millares 31 33" xfId="835"/>
    <cellStyle name="Millares 31 34" xfId="836"/>
    <cellStyle name="Millares 31 35" xfId="837"/>
    <cellStyle name="Millares 31 36" xfId="838"/>
    <cellStyle name="Millares 31 37" xfId="839"/>
    <cellStyle name="Millares 31 38" xfId="840"/>
    <cellStyle name="Millares 31 39" xfId="841"/>
    <cellStyle name="Millares 31 4" xfId="842"/>
    <cellStyle name="Millares 31 5" xfId="843"/>
    <cellStyle name="Millares 31 6" xfId="844"/>
    <cellStyle name="Millares 31 7" xfId="845"/>
    <cellStyle name="Millares 31 8" xfId="846"/>
    <cellStyle name="Millares 31 9" xfId="847"/>
    <cellStyle name="Millares 34" xfId="848"/>
    <cellStyle name="Millares 34 10" xfId="849"/>
    <cellStyle name="Millares 34 11" xfId="850"/>
    <cellStyle name="Millares 34 12" xfId="851"/>
    <cellStyle name="Millares 34 13" xfId="852"/>
    <cellStyle name="Millares 34 14" xfId="853"/>
    <cellStyle name="Millares 34 15" xfId="854"/>
    <cellStyle name="Millares 34 16" xfId="855"/>
    <cellStyle name="Millares 34 17" xfId="856"/>
    <cellStyle name="Millares 34 18" xfId="857"/>
    <cellStyle name="Millares 34 19" xfId="858"/>
    <cellStyle name="Millares 34 2" xfId="859"/>
    <cellStyle name="Millares 34 2 2" xfId="860"/>
    <cellStyle name="Millares 34 20" xfId="861"/>
    <cellStyle name="Millares 34 21" xfId="862"/>
    <cellStyle name="Millares 34 22" xfId="863"/>
    <cellStyle name="Millares 34 23" xfId="864"/>
    <cellStyle name="Millares 34 24" xfId="865"/>
    <cellStyle name="Millares 34 25" xfId="866"/>
    <cellStyle name="Millares 34 26" xfId="867"/>
    <cellStyle name="Millares 34 27" xfId="868"/>
    <cellStyle name="Millares 34 28" xfId="869"/>
    <cellStyle name="Millares 34 29" xfId="870"/>
    <cellStyle name="Millares 34 3" xfId="871"/>
    <cellStyle name="Millares 34 30" xfId="872"/>
    <cellStyle name="Millares 34 31" xfId="873"/>
    <cellStyle name="Millares 34 32" xfId="874"/>
    <cellStyle name="Millares 34 33" xfId="875"/>
    <cellStyle name="Millares 34 34" xfId="876"/>
    <cellStyle name="Millares 34 35" xfId="877"/>
    <cellStyle name="Millares 34 36" xfId="878"/>
    <cellStyle name="Millares 34 37" xfId="879"/>
    <cellStyle name="Millares 34 38" xfId="880"/>
    <cellStyle name="Millares 34 39" xfId="881"/>
    <cellStyle name="Millares 34 4" xfId="882"/>
    <cellStyle name="Millares 34 5" xfId="883"/>
    <cellStyle name="Millares 34 6" xfId="884"/>
    <cellStyle name="Millares 34 7" xfId="885"/>
    <cellStyle name="Millares 34 8" xfId="886"/>
    <cellStyle name="Millares 34 9" xfId="887"/>
    <cellStyle name="Millares 37" xfId="888"/>
    <cellStyle name="Millares 37 10" xfId="889"/>
    <cellStyle name="Millares 37 11" xfId="890"/>
    <cellStyle name="Millares 37 12" xfId="891"/>
    <cellStyle name="Millares 37 13" xfId="892"/>
    <cellStyle name="Millares 37 14" xfId="893"/>
    <cellStyle name="Millares 37 15" xfId="894"/>
    <cellStyle name="Millares 37 16" xfId="895"/>
    <cellStyle name="Millares 37 17" xfId="896"/>
    <cellStyle name="Millares 37 18" xfId="897"/>
    <cellStyle name="Millares 37 19" xfId="898"/>
    <cellStyle name="Millares 37 2" xfId="899"/>
    <cellStyle name="Millares 37 20" xfId="900"/>
    <cellStyle name="Millares 37 21" xfId="901"/>
    <cellStyle name="Millares 37 22" xfId="902"/>
    <cellStyle name="Millares 37 23" xfId="903"/>
    <cellStyle name="Millares 37 24" xfId="904"/>
    <cellStyle name="Millares 37 25" xfId="905"/>
    <cellStyle name="Millares 37 26" xfId="906"/>
    <cellStyle name="Millares 37 27" xfId="907"/>
    <cellStyle name="Millares 37 28" xfId="908"/>
    <cellStyle name="Millares 37 29" xfId="909"/>
    <cellStyle name="Millares 37 3" xfId="910"/>
    <cellStyle name="Millares 37 30" xfId="911"/>
    <cellStyle name="Millares 37 31" xfId="912"/>
    <cellStyle name="Millares 37 32" xfId="913"/>
    <cellStyle name="Millares 37 33" xfId="914"/>
    <cellStyle name="Millares 37 34" xfId="915"/>
    <cellStyle name="Millares 37 35" xfId="916"/>
    <cellStyle name="Millares 37 36" xfId="917"/>
    <cellStyle name="Millares 37 37" xfId="918"/>
    <cellStyle name="Millares 37 4" xfId="919"/>
    <cellStyle name="Millares 37 5" xfId="920"/>
    <cellStyle name="Millares 37 6" xfId="921"/>
    <cellStyle name="Millares 37 7" xfId="922"/>
    <cellStyle name="Millares 37 8" xfId="923"/>
    <cellStyle name="Millares 37 9" xfId="924"/>
    <cellStyle name="Millares 4" xfId="925"/>
    <cellStyle name="Millares 4 10" xfId="926"/>
    <cellStyle name="Millares 4 11" xfId="927"/>
    <cellStyle name="Millares 4 12" xfId="928"/>
    <cellStyle name="Millares 4 13" xfId="929"/>
    <cellStyle name="Millares 4 14" xfId="930"/>
    <cellStyle name="Millares 4 15" xfId="931"/>
    <cellStyle name="Millares 4 16" xfId="932"/>
    <cellStyle name="Millares 4 17" xfId="933"/>
    <cellStyle name="Millares 4 18" xfId="934"/>
    <cellStyle name="Millares 4 19" xfId="935"/>
    <cellStyle name="Millares 4 2" xfId="936"/>
    <cellStyle name="Millares 4 2 2" xfId="937"/>
    <cellStyle name="Millares 4 20" xfId="938"/>
    <cellStyle name="Millares 4 21" xfId="939"/>
    <cellStyle name="Millares 4 22" xfId="940"/>
    <cellStyle name="Millares 4 23" xfId="941"/>
    <cellStyle name="Millares 4 24" xfId="942"/>
    <cellStyle name="Millares 4 25" xfId="943"/>
    <cellStyle name="Millares 4 26" xfId="944"/>
    <cellStyle name="Millares 4 27" xfId="945"/>
    <cellStyle name="Millares 4 28" xfId="946"/>
    <cellStyle name="Millares 4 29" xfId="947"/>
    <cellStyle name="Millares 4 3" xfId="948"/>
    <cellStyle name="Millares 4 30" xfId="949"/>
    <cellStyle name="Millares 4 31" xfId="950"/>
    <cellStyle name="Millares 4 32" xfId="951"/>
    <cellStyle name="Millares 4 33" xfId="952"/>
    <cellStyle name="Millares 4 34" xfId="953"/>
    <cellStyle name="Millares 4 35" xfId="954"/>
    <cellStyle name="Millares 4 36" xfId="955"/>
    <cellStyle name="Millares 4 37" xfId="956"/>
    <cellStyle name="Millares 4 38" xfId="957"/>
    <cellStyle name="Millares 4 39" xfId="958"/>
    <cellStyle name="Millares 4 4" xfId="959"/>
    <cellStyle name="Millares 4 40" xfId="960"/>
    <cellStyle name="Millares 4 41" xfId="961"/>
    <cellStyle name="Millares 4 42" xfId="962"/>
    <cellStyle name="Millares 4 43" xfId="963"/>
    <cellStyle name="Millares 4 5" xfId="964"/>
    <cellStyle name="Millares 4 6" xfId="965"/>
    <cellStyle name="Millares 4 7" xfId="966"/>
    <cellStyle name="Millares 4 8" xfId="967"/>
    <cellStyle name="Millares 4 9" xfId="968"/>
    <cellStyle name="Millares 40" xfId="969"/>
    <cellStyle name="Millares 40 10" xfId="970"/>
    <cellStyle name="Millares 40 11" xfId="971"/>
    <cellStyle name="Millares 40 12" xfId="972"/>
    <cellStyle name="Millares 40 13" xfId="973"/>
    <cellStyle name="Millares 40 14" xfId="974"/>
    <cellStyle name="Millares 40 15" xfId="975"/>
    <cellStyle name="Millares 40 16" xfId="976"/>
    <cellStyle name="Millares 40 17" xfId="977"/>
    <cellStyle name="Millares 40 18" xfId="978"/>
    <cellStyle name="Millares 40 19" xfId="979"/>
    <cellStyle name="Millares 40 2" xfId="980"/>
    <cellStyle name="Millares 40 20" xfId="981"/>
    <cellStyle name="Millares 40 21" xfId="982"/>
    <cellStyle name="Millares 40 22" xfId="983"/>
    <cellStyle name="Millares 40 23" xfId="984"/>
    <cellStyle name="Millares 40 24" xfId="985"/>
    <cellStyle name="Millares 40 25" xfId="986"/>
    <cellStyle name="Millares 40 26" xfId="987"/>
    <cellStyle name="Millares 40 27" xfId="988"/>
    <cellStyle name="Millares 40 28" xfId="989"/>
    <cellStyle name="Millares 40 29" xfId="990"/>
    <cellStyle name="Millares 40 3" xfId="991"/>
    <cellStyle name="Millares 40 30" xfId="992"/>
    <cellStyle name="Millares 40 31" xfId="993"/>
    <cellStyle name="Millares 40 32" xfId="994"/>
    <cellStyle name="Millares 40 33" xfId="995"/>
    <cellStyle name="Millares 40 34" xfId="996"/>
    <cellStyle name="Millares 40 35" xfId="997"/>
    <cellStyle name="Millares 40 36" xfId="998"/>
    <cellStyle name="Millares 40 37" xfId="999"/>
    <cellStyle name="Millares 40 4" xfId="1000"/>
    <cellStyle name="Millares 40 5" xfId="1001"/>
    <cellStyle name="Millares 40 6" xfId="1002"/>
    <cellStyle name="Millares 40 7" xfId="1003"/>
    <cellStyle name="Millares 40 8" xfId="1004"/>
    <cellStyle name="Millares 40 9" xfId="1005"/>
    <cellStyle name="Millares 43" xfId="1006"/>
    <cellStyle name="Millares 43 10" xfId="1007"/>
    <cellStyle name="Millares 43 11" xfId="1008"/>
    <cellStyle name="Millares 43 12" xfId="1009"/>
    <cellStyle name="Millares 43 13" xfId="1010"/>
    <cellStyle name="Millares 43 14" xfId="1011"/>
    <cellStyle name="Millares 43 15" xfId="1012"/>
    <cellStyle name="Millares 43 16" xfId="1013"/>
    <cellStyle name="Millares 43 17" xfId="1014"/>
    <cellStyle name="Millares 43 18" xfId="1015"/>
    <cellStyle name="Millares 43 19" xfId="1016"/>
    <cellStyle name="Millares 43 2" xfId="1017"/>
    <cellStyle name="Millares 43 2 2" xfId="1018"/>
    <cellStyle name="Millares 43 20" xfId="1019"/>
    <cellStyle name="Millares 43 21" xfId="1020"/>
    <cellStyle name="Millares 43 22" xfId="1021"/>
    <cellStyle name="Millares 43 23" xfId="1022"/>
    <cellStyle name="Millares 43 24" xfId="1023"/>
    <cellStyle name="Millares 43 25" xfId="1024"/>
    <cellStyle name="Millares 43 26" xfId="1025"/>
    <cellStyle name="Millares 43 27" xfId="1026"/>
    <cellStyle name="Millares 43 28" xfId="1027"/>
    <cellStyle name="Millares 43 29" xfId="1028"/>
    <cellStyle name="Millares 43 3" xfId="1029"/>
    <cellStyle name="Millares 43 30" xfId="1030"/>
    <cellStyle name="Millares 43 31" xfId="1031"/>
    <cellStyle name="Millares 43 32" xfId="1032"/>
    <cellStyle name="Millares 43 33" xfId="1033"/>
    <cellStyle name="Millares 43 34" xfId="1034"/>
    <cellStyle name="Millares 43 35" xfId="1035"/>
    <cellStyle name="Millares 43 36" xfId="1036"/>
    <cellStyle name="Millares 43 37" xfId="1037"/>
    <cellStyle name="Millares 43 38" xfId="1038"/>
    <cellStyle name="Millares 43 39" xfId="1039"/>
    <cellStyle name="Millares 43 4" xfId="1040"/>
    <cellStyle name="Millares 43 5" xfId="1041"/>
    <cellStyle name="Millares 43 6" xfId="1042"/>
    <cellStyle name="Millares 43 7" xfId="1043"/>
    <cellStyle name="Millares 43 8" xfId="1044"/>
    <cellStyle name="Millares 43 9" xfId="1045"/>
    <cellStyle name="Millares 46" xfId="1046"/>
    <cellStyle name="Millares 46 10" xfId="1047"/>
    <cellStyle name="Millares 46 11" xfId="1048"/>
    <cellStyle name="Millares 46 12" xfId="1049"/>
    <cellStyle name="Millares 46 13" xfId="1050"/>
    <cellStyle name="Millares 46 14" xfId="1051"/>
    <cellStyle name="Millares 46 15" xfId="1052"/>
    <cellStyle name="Millares 46 16" xfId="1053"/>
    <cellStyle name="Millares 46 17" xfId="1054"/>
    <cellStyle name="Millares 46 18" xfId="1055"/>
    <cellStyle name="Millares 46 19" xfId="1056"/>
    <cellStyle name="Millares 46 2" xfId="1057"/>
    <cellStyle name="Millares 46 2 2" xfId="1058"/>
    <cellStyle name="Millares 46 20" xfId="1059"/>
    <cellStyle name="Millares 46 21" xfId="1060"/>
    <cellStyle name="Millares 46 22" xfId="1061"/>
    <cellStyle name="Millares 46 23" xfId="1062"/>
    <cellStyle name="Millares 46 24" xfId="1063"/>
    <cellStyle name="Millares 46 25" xfId="1064"/>
    <cellStyle name="Millares 46 26" xfId="1065"/>
    <cellStyle name="Millares 46 27" xfId="1066"/>
    <cellStyle name="Millares 46 28" xfId="1067"/>
    <cellStyle name="Millares 46 29" xfId="1068"/>
    <cellStyle name="Millares 46 3" xfId="1069"/>
    <cellStyle name="Millares 46 30" xfId="1070"/>
    <cellStyle name="Millares 46 31" xfId="1071"/>
    <cellStyle name="Millares 46 32" xfId="1072"/>
    <cellStyle name="Millares 46 33" xfId="1073"/>
    <cellStyle name="Millares 46 34" xfId="1074"/>
    <cellStyle name="Millares 46 35" xfId="1075"/>
    <cellStyle name="Millares 46 36" xfId="1076"/>
    <cellStyle name="Millares 46 37" xfId="1077"/>
    <cellStyle name="Millares 46 38" xfId="1078"/>
    <cellStyle name="Millares 46 39" xfId="1079"/>
    <cellStyle name="Millares 46 4" xfId="1080"/>
    <cellStyle name="Millares 46 5" xfId="1081"/>
    <cellStyle name="Millares 46 6" xfId="1082"/>
    <cellStyle name="Millares 46 7" xfId="1083"/>
    <cellStyle name="Millares 46 8" xfId="1084"/>
    <cellStyle name="Millares 46 9" xfId="1085"/>
    <cellStyle name="Millares 5" xfId="1086"/>
    <cellStyle name="Millares 5 2" xfId="1087"/>
    <cellStyle name="Millares 5 3" xfId="1088"/>
    <cellStyle name="Millares 54" xfId="1089"/>
    <cellStyle name="Millares 56" xfId="1090"/>
    <cellStyle name="Millares 56 2" xfId="1091"/>
    <cellStyle name="Millares 56 2 2" xfId="1092"/>
    <cellStyle name="Millares 56 3" xfId="1093"/>
    <cellStyle name="Millares 6" xfId="1094"/>
    <cellStyle name="Millares 6 10" xfId="1095"/>
    <cellStyle name="Millares 6 11" xfId="1096"/>
    <cellStyle name="Millares 6 12" xfId="1097"/>
    <cellStyle name="Millares 6 2" xfId="1098"/>
    <cellStyle name="Millares 6 2 2" xfId="1099"/>
    <cellStyle name="Millares 6 2 2 2" xfId="1100"/>
    <cellStyle name="Millares 6 2 2 2 2" xfId="1101"/>
    <cellStyle name="Millares 6 2 3" xfId="1102"/>
    <cellStyle name="Millares 6 2 4" xfId="1103"/>
    <cellStyle name="Millares 6 3" xfId="1104"/>
    <cellStyle name="Millares 6 4" xfId="1105"/>
    <cellStyle name="Millares 6 5" xfId="1106"/>
    <cellStyle name="Millares 6 6" xfId="1107"/>
    <cellStyle name="Millares 6 7" xfId="1108"/>
    <cellStyle name="Millares 6 8" xfId="1109"/>
    <cellStyle name="Millares 6 9" xfId="1110"/>
    <cellStyle name="Millares 7" xfId="1111"/>
    <cellStyle name="Millares 7 2" xfId="1112"/>
    <cellStyle name="Millares 7 3" xfId="1113"/>
    <cellStyle name="Millares 8" xfId="1114"/>
    <cellStyle name="Millares 9" xfId="1115"/>
    <cellStyle name="Millares 9 10" xfId="1116"/>
    <cellStyle name="Millares 9 11" xfId="1117"/>
    <cellStyle name="Millares 9 12" xfId="1118"/>
    <cellStyle name="Millares 9 13" xfId="1119"/>
    <cellStyle name="Millares 9 14" xfId="1120"/>
    <cellStyle name="Millares 9 15" xfId="1121"/>
    <cellStyle name="Millares 9 16" xfId="1122"/>
    <cellStyle name="Millares 9 17" xfId="1123"/>
    <cellStyle name="Millares 9 18" xfId="1124"/>
    <cellStyle name="Millares 9 19" xfId="1125"/>
    <cellStyle name="Millares 9 2" xfId="1126"/>
    <cellStyle name="Millares 9 2 2" xfId="1127"/>
    <cellStyle name="Millares 9 20" xfId="1128"/>
    <cellStyle name="Millares 9 21" xfId="1129"/>
    <cellStyle name="Millares 9 22" xfId="1130"/>
    <cellStyle name="Millares 9 23" xfId="1131"/>
    <cellStyle name="Millares 9 24" xfId="1132"/>
    <cellStyle name="Millares 9 25" xfId="1133"/>
    <cellStyle name="Millares 9 26" xfId="1134"/>
    <cellStyle name="Millares 9 27" xfId="1135"/>
    <cellStyle name="Millares 9 28" xfId="1136"/>
    <cellStyle name="Millares 9 29" xfId="1137"/>
    <cellStyle name="Millares 9 3" xfId="1138"/>
    <cellStyle name="Millares 9 30" xfId="1139"/>
    <cellStyle name="Millares 9 31" xfId="1140"/>
    <cellStyle name="Millares 9 32" xfId="1141"/>
    <cellStyle name="Millares 9 33" xfId="1142"/>
    <cellStyle name="Millares 9 34" xfId="1143"/>
    <cellStyle name="Millares 9 35" xfId="1144"/>
    <cellStyle name="Millares 9 36" xfId="1145"/>
    <cellStyle name="Millares 9 37" xfId="1146"/>
    <cellStyle name="Millares 9 38" xfId="1147"/>
    <cellStyle name="Millares 9 39" xfId="1148"/>
    <cellStyle name="Millares 9 4" xfId="1149"/>
    <cellStyle name="Millares 9 5" xfId="1150"/>
    <cellStyle name="Millares 9 6" xfId="1151"/>
    <cellStyle name="Millares 9 7" xfId="1152"/>
    <cellStyle name="Millares 9 8" xfId="1153"/>
    <cellStyle name="Millares 9 9" xfId="1154"/>
    <cellStyle name="Normal" xfId="0" builtinId="0"/>
    <cellStyle name="Normal 10" xfId="1155"/>
    <cellStyle name="Normal 10 2" xfId="1156"/>
    <cellStyle name="Normal 11" xfId="1157"/>
    <cellStyle name="Normal 11 10" xfId="1158"/>
    <cellStyle name="Normal 11 11" xfId="1159"/>
    <cellStyle name="Normal 11 12" xfId="1160"/>
    <cellStyle name="Normal 11 13" xfId="1161"/>
    <cellStyle name="Normal 11 14" xfId="1162"/>
    <cellStyle name="Normal 11 15" xfId="1163"/>
    <cellStyle name="Normal 11 16" xfId="1164"/>
    <cellStyle name="Normal 11 2" xfId="1165"/>
    <cellStyle name="Normal 11 2 2" xfId="1166"/>
    <cellStyle name="Normal 11 2 3" xfId="1167"/>
    <cellStyle name="Normal 11 2 4" xfId="1168"/>
    <cellStyle name="Normal 11 2 5" xfId="1169"/>
    <cellStyle name="Normal 11 2 6" xfId="1170"/>
    <cellStyle name="Normal 11 3" xfId="1171"/>
    <cellStyle name="Normal 11 3 2" xfId="1172"/>
    <cellStyle name="Normal 11 3 3" xfId="1173"/>
    <cellStyle name="Normal 11 3 4" xfId="1174"/>
    <cellStyle name="Normal 11 3 5" xfId="1175"/>
    <cellStyle name="Normal 11 3 6" xfId="1176"/>
    <cellStyle name="Normal 11 4" xfId="1177"/>
    <cellStyle name="Normal 11 5" xfId="1178"/>
    <cellStyle name="Normal 11 6" xfId="1179"/>
    <cellStyle name="Normal 11 7" xfId="1180"/>
    <cellStyle name="Normal 11 8" xfId="1181"/>
    <cellStyle name="Normal 11 9" xfId="1182"/>
    <cellStyle name="Normal 12" xfId="1183"/>
    <cellStyle name="Normal 12 2" xfId="1184"/>
    <cellStyle name="Normal 13" xfId="1185"/>
    <cellStyle name="Normal 14" xfId="1186"/>
    <cellStyle name="Normal 14 2" xfId="1187"/>
    <cellStyle name="Normal 15" xfId="1188"/>
    <cellStyle name="Normal 15 2" xfId="1189"/>
    <cellStyle name="Normal 16" xfId="1190"/>
    <cellStyle name="Normal 17" xfId="1191"/>
    <cellStyle name="Normal 17 2" xfId="1192"/>
    <cellStyle name="Normal 18" xfId="1193"/>
    <cellStyle name="Normal 18 2" xfId="1194"/>
    <cellStyle name="Normal 19" xfId="1195"/>
    <cellStyle name="Normal 19 2" xfId="1196"/>
    <cellStyle name="Normal 2" xfId="1197"/>
    <cellStyle name="Normal 2 10" xfId="1198"/>
    <cellStyle name="Normal 2 10 2" xfId="1199"/>
    <cellStyle name="Normal 2 10 3" xfId="1200"/>
    <cellStyle name="Normal 2 10 4" xfId="1201"/>
    <cellStyle name="Normal 2 10 5" xfId="1202"/>
    <cellStyle name="Normal 2 10 6" xfId="1203"/>
    <cellStyle name="Normal 2 10 7" xfId="1204"/>
    <cellStyle name="Normal 2 11" xfId="1205"/>
    <cellStyle name="Normal 2 11 2" xfId="1206"/>
    <cellStyle name="Normal 2 11 3" xfId="1207"/>
    <cellStyle name="Normal 2 11 4" xfId="1208"/>
    <cellStyle name="Normal 2 11 5" xfId="1209"/>
    <cellStyle name="Normal 2 11 6" xfId="1210"/>
    <cellStyle name="Normal 2 11 7" xfId="1211"/>
    <cellStyle name="Normal 2 12" xfId="1212"/>
    <cellStyle name="Normal 2 12 2" xfId="1213"/>
    <cellStyle name="Normal 2 12 3" xfId="1214"/>
    <cellStyle name="Normal 2 12 4" xfId="1215"/>
    <cellStyle name="Normal 2 12 5" xfId="1216"/>
    <cellStyle name="Normal 2 12 6" xfId="1217"/>
    <cellStyle name="Normal 2 12 7" xfId="1218"/>
    <cellStyle name="Normal 2 13" xfId="1219"/>
    <cellStyle name="Normal 2 13 2" xfId="1220"/>
    <cellStyle name="Normal 2 13 3" xfId="1221"/>
    <cellStyle name="Normal 2 13 4" xfId="1222"/>
    <cellStyle name="Normal 2 13 5" xfId="1223"/>
    <cellStyle name="Normal 2 13 6" xfId="1224"/>
    <cellStyle name="Normal 2 13 7" xfId="1225"/>
    <cellStyle name="Normal 2 14" xfId="1226"/>
    <cellStyle name="Normal 2 14 2" xfId="1227"/>
    <cellStyle name="Normal 2 14 3" xfId="1228"/>
    <cellStyle name="Normal 2 14 4" xfId="1229"/>
    <cellStyle name="Normal 2 14 5" xfId="1230"/>
    <cellStyle name="Normal 2 14 6" xfId="1231"/>
    <cellStyle name="Normal 2 14 7" xfId="1232"/>
    <cellStyle name="Normal 2 15" xfId="1233"/>
    <cellStyle name="Normal 2 15 2" xfId="1234"/>
    <cellStyle name="Normal 2 15 3" xfId="1235"/>
    <cellStyle name="Normal 2 15 4" xfId="1236"/>
    <cellStyle name="Normal 2 15 5" xfId="1237"/>
    <cellStyle name="Normal 2 15 6" xfId="1238"/>
    <cellStyle name="Normal 2 15 7" xfId="1239"/>
    <cellStyle name="Normal 2 16" xfId="1240"/>
    <cellStyle name="Normal 2 16 2" xfId="1241"/>
    <cellStyle name="Normal 2 16 3" xfId="1242"/>
    <cellStyle name="Normal 2 16 4" xfId="1243"/>
    <cellStyle name="Normal 2 16 5" xfId="1244"/>
    <cellStyle name="Normal 2 16 6" xfId="1245"/>
    <cellStyle name="Normal 2 16 7" xfId="1246"/>
    <cellStyle name="Normal 2 17" xfId="1247"/>
    <cellStyle name="Normal 2 17 2" xfId="1248"/>
    <cellStyle name="Normal 2 17 3" xfId="1249"/>
    <cellStyle name="Normal 2 17 4" xfId="1250"/>
    <cellStyle name="Normal 2 17 5" xfId="1251"/>
    <cellStyle name="Normal 2 17 6" xfId="1252"/>
    <cellStyle name="Normal 2 17 7" xfId="1253"/>
    <cellStyle name="Normal 2 18" xfId="1254"/>
    <cellStyle name="Normal 2 18 2" xfId="1255"/>
    <cellStyle name="Normal 2 18 3" xfId="1256"/>
    <cellStyle name="Normal 2 18 4" xfId="1257"/>
    <cellStyle name="Normal 2 18 5" xfId="1258"/>
    <cellStyle name="Normal 2 18 6" xfId="1259"/>
    <cellStyle name="Normal 2 18 7" xfId="1260"/>
    <cellStyle name="Normal 2 19" xfId="1261"/>
    <cellStyle name="Normal 2 19 2" xfId="1262"/>
    <cellStyle name="Normal 2 2" xfId="1263"/>
    <cellStyle name="Normal 2 2 10" xfId="1264"/>
    <cellStyle name="Normal 2 2 11" xfId="1265"/>
    <cellStyle name="Normal 2 2 12" xfId="1266"/>
    <cellStyle name="Normal 2 2 13" xfId="1267"/>
    <cellStyle name="Normal 2 2 14" xfId="1268"/>
    <cellStyle name="Normal 2 2 15" xfId="1269"/>
    <cellStyle name="Normal 2 2 16" xfId="1270"/>
    <cellStyle name="Normal 2 2 17" xfId="1271"/>
    <cellStyle name="Normal 2 2 18" xfId="1272"/>
    <cellStyle name="Normal 2 2 19" xfId="1273"/>
    <cellStyle name="Normal 2 2 2" xfId="1274"/>
    <cellStyle name="Normal 2 2 2 2" xfId="1275"/>
    <cellStyle name="Normal 2 2 2 2 2" xfId="1276"/>
    <cellStyle name="Normal 2 2 2 2 2 2" xfId="1277"/>
    <cellStyle name="Normal 2 2 2 2 2 2 2" xfId="1278"/>
    <cellStyle name="Normal 2 2 2 2 3" xfId="1279"/>
    <cellStyle name="Normal 2 2 2 3" xfId="1280"/>
    <cellStyle name="Normal 2 2 20" xfId="1281"/>
    <cellStyle name="Normal 2 2 21" xfId="1282"/>
    <cellStyle name="Normal 2 2 22" xfId="1283"/>
    <cellStyle name="Normal 2 2 23" xfId="1284"/>
    <cellStyle name="Normal 2 2 24" xfId="1285"/>
    <cellStyle name="Normal 2 2 25" xfId="1286"/>
    <cellStyle name="Normal 2 2 26" xfId="1287"/>
    <cellStyle name="Normal 2 2 27" xfId="1288"/>
    <cellStyle name="Normal 2 2 28" xfId="1289"/>
    <cellStyle name="Normal 2 2 29" xfId="1290"/>
    <cellStyle name="Normal 2 2 3" xfId="1291"/>
    <cellStyle name="Normal 2 2 3 2" xfId="1292"/>
    <cellStyle name="Normal 2 2 3 2 2" xfId="1293"/>
    <cellStyle name="Normal 2 2 3 2 2 2" xfId="1294"/>
    <cellStyle name="Normal 2 2 3 2 3" xfId="1295"/>
    <cellStyle name="Normal 2 2 3 3" xfId="1296"/>
    <cellStyle name="Normal 2 2 30" xfId="1297"/>
    <cellStyle name="Normal 2 2 31" xfId="1298"/>
    <cellStyle name="Normal 2 2 32" xfId="1299"/>
    <cellStyle name="Normal 2 2 33" xfId="1300"/>
    <cellStyle name="Normal 2 2 34" xfId="1301"/>
    <cellStyle name="Normal 2 2 35" xfId="1302"/>
    <cellStyle name="Normal 2 2 36" xfId="1303"/>
    <cellStyle name="Normal 2 2 37" xfId="1304"/>
    <cellStyle name="Normal 2 2 38" xfId="1305"/>
    <cellStyle name="Normal 2 2 39" xfId="1306"/>
    <cellStyle name="Normal 2 2 4" xfId="1307"/>
    <cellStyle name="Normal 2 2 40" xfId="1308"/>
    <cellStyle name="Normal 2 2 41" xfId="1309"/>
    <cellStyle name="Normal 2 2 42" xfId="1310"/>
    <cellStyle name="Normal 2 2 43" xfId="1311"/>
    <cellStyle name="Normal 2 2 44" xfId="1312"/>
    <cellStyle name="Normal 2 2 45" xfId="1313"/>
    <cellStyle name="Normal 2 2 46" xfId="1314"/>
    <cellStyle name="Normal 2 2 47" xfId="1315"/>
    <cellStyle name="Normal 2 2 48" xfId="1316"/>
    <cellStyle name="Normal 2 2 49" xfId="1317"/>
    <cellStyle name="Normal 2 2 5" xfId="1318"/>
    <cellStyle name="Normal 2 2 50" xfId="1319"/>
    <cellStyle name="Normal 2 2 51" xfId="1320"/>
    <cellStyle name="Normal 2 2 52" xfId="1321"/>
    <cellStyle name="Normal 2 2 53" xfId="1322"/>
    <cellStyle name="Normal 2 2 54" xfId="1323"/>
    <cellStyle name="Normal 2 2 55" xfId="1324"/>
    <cellStyle name="Normal 2 2 56" xfId="1325"/>
    <cellStyle name="Normal 2 2 57" xfId="1326"/>
    <cellStyle name="Normal 2 2 58" xfId="1327"/>
    <cellStyle name="Normal 2 2 59" xfId="1328"/>
    <cellStyle name="Normal 2 2 6" xfId="1329"/>
    <cellStyle name="Normal 2 2 60" xfId="1330"/>
    <cellStyle name="Normal 2 2 61" xfId="1331"/>
    <cellStyle name="Normal 2 2 7" xfId="1332"/>
    <cellStyle name="Normal 2 2 7 2" xfId="1333"/>
    <cellStyle name="Normal 2 2 7 3" xfId="1334"/>
    <cellStyle name="Normal 2 2 7 4" xfId="1335"/>
    <cellStyle name="Normal 2 2 7 5" xfId="1336"/>
    <cellStyle name="Normal 2 2 7 6" xfId="1337"/>
    <cellStyle name="Normal 2 2 8" xfId="1338"/>
    <cellStyle name="Normal 2 2 9" xfId="1339"/>
    <cellStyle name="Normal 2 20" xfId="1340"/>
    <cellStyle name="Normal 2 20 2" xfId="1341"/>
    <cellStyle name="Normal 2 21" xfId="1342"/>
    <cellStyle name="Normal 2 22" xfId="1343"/>
    <cellStyle name="Normal 2 23" xfId="1344"/>
    <cellStyle name="Normal 2 24" xfId="1345"/>
    <cellStyle name="Normal 2 25" xfId="1346"/>
    <cellStyle name="Normal 2 26" xfId="1347"/>
    <cellStyle name="Normal 2 27" xfId="1348"/>
    <cellStyle name="Normal 2 28" xfId="1349"/>
    <cellStyle name="Normal 2 29" xfId="1350"/>
    <cellStyle name="Normal 2 3" xfId="1351"/>
    <cellStyle name="Normal 2 3 10" xfId="1352"/>
    <cellStyle name="Normal 2 3 11" xfId="1353"/>
    <cellStyle name="Normal 2 3 12" xfId="1354"/>
    <cellStyle name="Normal 2 3 13" xfId="1355"/>
    <cellStyle name="Normal 2 3 2" xfId="1356"/>
    <cellStyle name="Normal 2 3 2 2" xfId="1357"/>
    <cellStyle name="Normal 2 3 2 2 2" xfId="1358"/>
    <cellStyle name="Normal 2 3 2 2 2 2" xfId="1359"/>
    <cellStyle name="Normal 2 3 2 3" xfId="1360"/>
    <cellStyle name="Normal 2 3 2 4" xfId="1361"/>
    <cellStyle name="Normal 2 3 2 5" xfId="1362"/>
    <cellStyle name="Normal 2 3 2 6" xfId="1363"/>
    <cellStyle name="Normal 2 3 2 7" xfId="1364"/>
    <cellStyle name="Normal 2 3 2 8" xfId="1365"/>
    <cellStyle name="Normal 2 3 3" xfId="1366"/>
    <cellStyle name="Normal 2 3 4" xfId="1367"/>
    <cellStyle name="Normal 2 3 5" xfId="1368"/>
    <cellStyle name="Normal 2 3 6" xfId="1369"/>
    <cellStyle name="Normal 2 3 7" xfId="1370"/>
    <cellStyle name="Normal 2 3 8" xfId="1371"/>
    <cellStyle name="Normal 2 3 9" xfId="1372"/>
    <cellStyle name="Normal 2 30" xfId="1373"/>
    <cellStyle name="Normal 2 31" xfId="1374"/>
    <cellStyle name="Normal 2 32" xfId="1375"/>
    <cellStyle name="Normal 2 33" xfId="1376"/>
    <cellStyle name="Normal 2 34" xfId="1377"/>
    <cellStyle name="Normal 2 35" xfId="1378"/>
    <cellStyle name="Normal 2 36" xfId="1379"/>
    <cellStyle name="Normal 2 37" xfId="1380"/>
    <cellStyle name="Normal 2 38" xfId="1381"/>
    <cellStyle name="Normal 2 39" xfId="1382"/>
    <cellStyle name="Normal 2 4" xfId="1383"/>
    <cellStyle name="Normal 2 4 10" xfId="1384"/>
    <cellStyle name="Normal 2 4 11" xfId="1385"/>
    <cellStyle name="Normal 2 4 2" xfId="1386"/>
    <cellStyle name="Normal 2 4 3" xfId="1387"/>
    <cellStyle name="Normal 2 4 4" xfId="1388"/>
    <cellStyle name="Normal 2 4 5" xfId="1389"/>
    <cellStyle name="Normal 2 4 6" xfId="1390"/>
    <cellStyle name="Normal 2 4 7" xfId="1391"/>
    <cellStyle name="Normal 2 4 8" xfId="1392"/>
    <cellStyle name="Normal 2 4 9" xfId="1393"/>
    <cellStyle name="Normal 2 40" xfId="1394"/>
    <cellStyle name="Normal 2 41" xfId="1395"/>
    <cellStyle name="Normal 2 42" xfId="1396"/>
    <cellStyle name="Normal 2 43" xfId="1397"/>
    <cellStyle name="Normal 2 44" xfId="1398"/>
    <cellStyle name="Normal 2 45" xfId="1399"/>
    <cellStyle name="Normal 2 46" xfId="1400"/>
    <cellStyle name="Normal 2 47" xfId="1401"/>
    <cellStyle name="Normal 2 48" xfId="1402"/>
    <cellStyle name="Normal 2 49" xfId="1403"/>
    <cellStyle name="Normal 2 5" xfId="1404"/>
    <cellStyle name="Normal 2 5 2" xfId="1405"/>
    <cellStyle name="Normal 2 5 3" xfId="1406"/>
    <cellStyle name="Normal 2 5 4" xfId="1407"/>
    <cellStyle name="Normal 2 5 5" xfId="1408"/>
    <cellStyle name="Normal 2 5 6" xfId="1409"/>
    <cellStyle name="Normal 2 5 7" xfId="1410"/>
    <cellStyle name="Normal 2 50" xfId="1411"/>
    <cellStyle name="Normal 2 51" xfId="1412"/>
    <cellStyle name="Normal 2 52" xfId="1413"/>
    <cellStyle name="Normal 2 53" xfId="1414"/>
    <cellStyle name="Normal 2 54" xfId="1415"/>
    <cellStyle name="Normal 2 55" xfId="1416"/>
    <cellStyle name="Normal 2 56" xfId="1417"/>
    <cellStyle name="Normal 2 57" xfId="1418"/>
    <cellStyle name="Normal 2 58" xfId="1419"/>
    <cellStyle name="Normal 2 59" xfId="1420"/>
    <cellStyle name="Normal 2 6" xfId="1421"/>
    <cellStyle name="Normal 2 6 2" xfId="1422"/>
    <cellStyle name="Normal 2 6 2 2" xfId="1423"/>
    <cellStyle name="Normal 2 6 2 2 2" xfId="1424"/>
    <cellStyle name="Normal 2 6 2 3" xfId="1425"/>
    <cellStyle name="Normal 2 6 3" xfId="1426"/>
    <cellStyle name="Normal 2 6 4" xfId="1427"/>
    <cellStyle name="Normal 2 6 5" xfId="1428"/>
    <cellStyle name="Normal 2 6 6" xfId="1429"/>
    <cellStyle name="Normal 2 6 7" xfId="1430"/>
    <cellStyle name="Normal 2 6 8" xfId="1431"/>
    <cellStyle name="Normal 2 6 9" xfId="1432"/>
    <cellStyle name="Normal 2 60" xfId="1433"/>
    <cellStyle name="Normal 2 61" xfId="1434"/>
    <cellStyle name="Normal 2 7" xfId="1435"/>
    <cellStyle name="Normal 2 7 2" xfId="1436"/>
    <cellStyle name="Normal 2 7 2 2" xfId="1437"/>
    <cellStyle name="Normal 2 7 2 2 2" xfId="1438"/>
    <cellStyle name="Normal 2 7 2 3" xfId="1439"/>
    <cellStyle name="Normal 2 7 3" xfId="1440"/>
    <cellStyle name="Normal 2 7 4" xfId="1441"/>
    <cellStyle name="Normal 2 7 5" xfId="1442"/>
    <cellStyle name="Normal 2 7 6" xfId="1443"/>
    <cellStyle name="Normal 2 7 7" xfId="1444"/>
    <cellStyle name="Normal 2 7 8" xfId="1445"/>
    <cellStyle name="Normal 2 7 9" xfId="1446"/>
    <cellStyle name="Normal 2 8" xfId="1447"/>
    <cellStyle name="Normal 2 8 2" xfId="1448"/>
    <cellStyle name="Normal 2 8 3" xfId="1449"/>
    <cellStyle name="Normal 2 8 4" xfId="1450"/>
    <cellStyle name="Normal 2 8 5" xfId="1451"/>
    <cellStyle name="Normal 2 8 6" xfId="1452"/>
    <cellStyle name="Normal 2 8 7" xfId="1453"/>
    <cellStyle name="Normal 2 9" xfId="1454"/>
    <cellStyle name="Normal 2 9 2" xfId="1455"/>
    <cellStyle name="Normal 2 9 3" xfId="1456"/>
    <cellStyle name="Normal 2 9 4" xfId="1457"/>
    <cellStyle name="Normal 2 9 5" xfId="1458"/>
    <cellStyle name="Normal 2 9 6" xfId="1459"/>
    <cellStyle name="Normal 2 9 7" xfId="1460"/>
    <cellStyle name="Normal 20" xfId="1461"/>
    <cellStyle name="Normal 20 2" xfId="1462"/>
    <cellStyle name="Normal 21" xfId="1463"/>
    <cellStyle name="Normal 21 2" xfId="1464"/>
    <cellStyle name="Normal 22" xfId="1465"/>
    <cellStyle name="Normal 23" xfId="1466"/>
    <cellStyle name="Normal 24" xfId="1467"/>
    <cellStyle name="Normal 25" xfId="1468"/>
    <cellStyle name="Normal 26" xfId="1469"/>
    <cellStyle name="Normal 27" xfId="1470"/>
    <cellStyle name="Normal 28" xfId="1471"/>
    <cellStyle name="Normal 29" xfId="1472"/>
    <cellStyle name="Normal 3" xfId="1473"/>
    <cellStyle name="Normal 3 10" xfId="1474"/>
    <cellStyle name="Normal 3 11" xfId="1475"/>
    <cellStyle name="Normal 3 12" xfId="1476"/>
    <cellStyle name="Normal 3 13" xfId="1477"/>
    <cellStyle name="Normal 3 14" xfId="1478"/>
    <cellStyle name="Normal 3 15" xfId="1479"/>
    <cellStyle name="Normal 3 16" xfId="1480"/>
    <cellStyle name="Normal 3 17" xfId="1481"/>
    <cellStyle name="Normal 3 18" xfId="1482"/>
    <cellStyle name="Normal 3 19" xfId="1483"/>
    <cellStyle name="Normal 3 2" xfId="1484"/>
    <cellStyle name="Normal 3 2 2" xfId="1485"/>
    <cellStyle name="Normal 3 2 3" xfId="1486"/>
    <cellStyle name="Normal 3 2 4" xfId="1487"/>
    <cellStyle name="Normal 3 2 5" xfId="1488"/>
    <cellStyle name="Normal 3 2 6" xfId="1489"/>
    <cellStyle name="Normal 3 2 7" xfId="1490"/>
    <cellStyle name="Normal 3 3" xfId="1491"/>
    <cellStyle name="Normal 3 3 2" xfId="1492"/>
    <cellStyle name="Normal 3 3 3" xfId="1493"/>
    <cellStyle name="Normal 3 3 4" xfId="1494"/>
    <cellStyle name="Normal 3 3 5" xfId="1495"/>
    <cellStyle name="Normal 3 3 6" xfId="1496"/>
    <cellStyle name="Normal 3 3 7" xfId="1497"/>
    <cellStyle name="Normal 3 4" xfId="1498"/>
    <cellStyle name="Normal 3 5" xfId="1499"/>
    <cellStyle name="Normal 3 5 2" xfId="1500"/>
    <cellStyle name="Normal 3 5 3" xfId="1501"/>
    <cellStyle name="Normal 3 5 4" xfId="1502"/>
    <cellStyle name="Normal 3 5 5" xfId="1503"/>
    <cellStyle name="Normal 3 5 6" xfId="1504"/>
    <cellStyle name="Normal 3 6" xfId="1505"/>
    <cellStyle name="Normal 3 7" xfId="1506"/>
    <cellStyle name="Normal 3 8" xfId="1507"/>
    <cellStyle name="Normal 3 9" xfId="1508"/>
    <cellStyle name="Normal 4" xfId="1509"/>
    <cellStyle name="Normal 4 2" xfId="1510"/>
    <cellStyle name="Normal 4 2 2" xfId="1511"/>
    <cellStyle name="Normal 4 3" xfId="1512"/>
    <cellStyle name="Normal 4 4" xfId="1513"/>
    <cellStyle name="Normal 4 5" xfId="1514"/>
    <cellStyle name="Normal 4 6" xfId="1515"/>
    <cellStyle name="Normal 4 7" xfId="1516"/>
    <cellStyle name="Normal 5" xfId="1517"/>
    <cellStyle name="Normal 5 2" xfId="1518"/>
    <cellStyle name="Normal 5 3" xfId="1519"/>
    <cellStyle name="Normal 5 4" xfId="1520"/>
    <cellStyle name="Normal 5 5" xfId="1521"/>
    <cellStyle name="Normal 5 6" xfId="1522"/>
    <cellStyle name="Normal 5 7" xfId="1523"/>
    <cellStyle name="Normal 56" xfId="1524"/>
    <cellStyle name="Normal 57" xfId="1525"/>
    <cellStyle name="Normal 6" xfId="1526"/>
    <cellStyle name="Normal 6 2" xfId="1527"/>
    <cellStyle name="Normal 6 2 2" xfId="1528"/>
    <cellStyle name="Normal 6 2 3" xfId="1529"/>
    <cellStyle name="Normal 6 2 4" xfId="1530"/>
    <cellStyle name="Normal 6 2 5" xfId="1531"/>
    <cellStyle name="Normal 6 2 6" xfId="1532"/>
    <cellStyle name="Normal 6 2 7" xfId="1533"/>
    <cellStyle name="Normal 6 3" xfId="1534"/>
    <cellStyle name="Normal 7" xfId="1535"/>
    <cellStyle name="Normal 7 2" xfId="1536"/>
    <cellStyle name="Normal 7 3" xfId="1537"/>
    <cellStyle name="Normal 8" xfId="1538"/>
    <cellStyle name="Normal 8 10" xfId="1539"/>
    <cellStyle name="Normal 8 11" xfId="1540"/>
    <cellStyle name="Normal 8 12" xfId="1541"/>
    <cellStyle name="Normal 8 13" xfId="1542"/>
    <cellStyle name="Normal 8 14" xfId="1543"/>
    <cellStyle name="Normal 8 15" xfId="1544"/>
    <cellStyle name="Normal 8 16" xfId="1545"/>
    <cellStyle name="Normal 8 2" xfId="1546"/>
    <cellStyle name="Normal 8 2 2" xfId="1547"/>
    <cellStyle name="Normal 8 2 3" xfId="1548"/>
    <cellStyle name="Normal 8 2 4" xfId="1549"/>
    <cellStyle name="Normal 8 2 5" xfId="1550"/>
    <cellStyle name="Normal 8 2 6" xfId="1551"/>
    <cellStyle name="Normal 8 3" xfId="1552"/>
    <cellStyle name="Normal 8 3 2" xfId="1553"/>
    <cellStyle name="Normal 8 3 3" xfId="1554"/>
    <cellStyle name="Normal 8 3 4" xfId="1555"/>
    <cellStyle name="Normal 8 3 5" xfId="1556"/>
    <cellStyle name="Normal 8 3 6" xfId="1557"/>
    <cellStyle name="Normal 8 4" xfId="1558"/>
    <cellStyle name="Normal 8 5" xfId="1559"/>
    <cellStyle name="Normal 8 6" xfId="1560"/>
    <cellStyle name="Normal 8 7" xfId="1561"/>
    <cellStyle name="Normal 8 8" xfId="1562"/>
    <cellStyle name="Normal 8 9" xfId="1563"/>
    <cellStyle name="Normal 9" xfId="1564"/>
    <cellStyle name="Normal 9 2" xfId="1565"/>
    <cellStyle name="Result" xfId="1566"/>
    <cellStyle name="Result 1" xfId="1567"/>
    <cellStyle name="Result 2" xfId="1568"/>
    <cellStyle name="Result 2 2" xfId="1569"/>
    <cellStyle name="Result 2 3" xfId="1570"/>
    <cellStyle name="Result 2 4" xfId="1571"/>
    <cellStyle name="Result 2 5" xfId="1572"/>
    <cellStyle name="Result 2 6" xfId="1573"/>
    <cellStyle name="Result 3" xfId="1574"/>
    <cellStyle name="Result 4" xfId="1575"/>
    <cellStyle name="Result 5" xfId="1576"/>
    <cellStyle name="Result 6" xfId="1577"/>
    <cellStyle name="Result2" xfId="1578"/>
    <cellStyle name="Result2 1" xfId="1579"/>
    <cellStyle name="Result2 2" xfId="1580"/>
    <cellStyle name="Result2 2 2" xfId="1581"/>
    <cellStyle name="Result2 2 3" xfId="1582"/>
    <cellStyle name="Result2 2 4" xfId="1583"/>
    <cellStyle name="Result2 2 5" xfId="1584"/>
    <cellStyle name="Result2 2 6" xfId="1585"/>
    <cellStyle name="Result2 3" xfId="1586"/>
    <cellStyle name="Result2 4" xfId="1587"/>
    <cellStyle name="Result2 5" xfId="1588"/>
    <cellStyle name="Result2 6" xfId="158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A2017%20DEFINITIVO\PRESUPUESTO%202017-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GRESOS"/>
      <sheetName val="GASTOS"/>
      <sheetName val="AMBIENTE"/>
      <sheetName val="OBRA PUBLICA"/>
      <sheetName val="HIDRICOS"/>
      <sheetName val="DES ECONOMICO"/>
      <sheetName val="DES SOCIAL"/>
      <sheetName val="GASTOS 2016"/>
      <sheetName val="RESUMEN"/>
    </sheetNames>
    <sheetDataSet>
      <sheetData sheetId="0" refreshError="1"/>
      <sheetData sheetId="1" refreshError="1"/>
      <sheetData sheetId="2" refreshError="1"/>
      <sheetData sheetId="3">
        <row r="79">
          <cell r="F79">
            <v>70000</v>
          </cell>
          <cell r="G79">
            <v>15000</v>
          </cell>
          <cell r="H79">
            <v>40000</v>
          </cell>
          <cell r="I79">
            <v>40000</v>
          </cell>
          <cell r="J79">
            <v>25000</v>
          </cell>
          <cell r="K79">
            <v>25000</v>
          </cell>
        </row>
        <row r="82">
          <cell r="F82">
            <v>4000</v>
          </cell>
          <cell r="G82">
            <v>1000</v>
          </cell>
          <cell r="H82">
            <v>2000</v>
          </cell>
          <cell r="I82">
            <v>5000</v>
          </cell>
          <cell r="J82">
            <v>11500</v>
          </cell>
          <cell r="K82">
            <v>4500</v>
          </cell>
        </row>
        <row r="94">
          <cell r="F94">
            <v>37000</v>
          </cell>
          <cell r="G94">
            <v>15000</v>
          </cell>
          <cell r="H94">
            <v>24000</v>
          </cell>
          <cell r="I94">
            <v>28000</v>
          </cell>
          <cell r="J94">
            <v>13000</v>
          </cell>
          <cell r="K94">
            <v>27000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02"/>
  <sheetViews>
    <sheetView topLeftCell="C85" workbookViewId="0">
      <selection activeCell="J81" sqref="J81"/>
    </sheetView>
  </sheetViews>
  <sheetFormatPr baseColWidth="10" defaultRowHeight="11.25"/>
  <cols>
    <col min="1" max="1" width="15.5703125" style="1" customWidth="1"/>
    <col min="2" max="2" width="25.28515625" style="5" customWidth="1"/>
    <col min="3" max="3" width="15.140625" style="5" customWidth="1"/>
    <col min="4" max="4" width="18.5703125" style="6" customWidth="1"/>
    <col min="5" max="5" width="20.42578125" style="1" customWidth="1"/>
    <col min="6" max="6" width="19.5703125" style="1" customWidth="1"/>
    <col min="7" max="7" width="14.5703125" style="1" customWidth="1"/>
    <col min="8" max="8" width="8.85546875" style="7" customWidth="1"/>
    <col min="9" max="9" width="14.28515625" style="8" customWidth="1"/>
    <col min="10" max="10" width="13" style="8" customWidth="1"/>
    <col min="11" max="11" width="13.28515625" style="8" customWidth="1"/>
    <col min="12" max="12" width="12.85546875" style="8" customWidth="1"/>
    <col min="13" max="13" width="12" style="8" customWidth="1"/>
    <col min="14" max="14" width="13.140625" style="8" customWidth="1"/>
    <col min="15" max="15" width="13.7109375" style="8" customWidth="1"/>
    <col min="16" max="16" width="6.42578125" style="8" customWidth="1"/>
    <col min="17" max="17" width="6.7109375" style="8" customWidth="1"/>
    <col min="18" max="18" width="6" style="8" customWidth="1"/>
    <col min="19" max="19" width="6.42578125" style="8" customWidth="1"/>
    <col min="20" max="16384" width="11.42578125" style="1"/>
  </cols>
  <sheetData>
    <row r="1" spans="1:19" ht="19.5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19" ht="21" customHeight="1">
      <c r="A2" s="171" t="s">
        <v>127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</row>
    <row r="3" spans="1:19" ht="19.5" customHeight="1">
      <c r="A3" s="172" t="s">
        <v>36</v>
      </c>
      <c r="B3" s="174" t="s">
        <v>1</v>
      </c>
      <c r="C3" s="176" t="s">
        <v>35</v>
      </c>
      <c r="D3" s="174" t="s">
        <v>2</v>
      </c>
      <c r="E3" s="174" t="s">
        <v>3</v>
      </c>
      <c r="F3" s="174" t="s">
        <v>4</v>
      </c>
      <c r="G3" s="174" t="s">
        <v>5</v>
      </c>
      <c r="H3" s="178" t="s">
        <v>6</v>
      </c>
      <c r="I3" s="179"/>
      <c r="J3" s="21" t="s">
        <v>7</v>
      </c>
      <c r="K3" s="22"/>
      <c r="L3" s="162" t="s">
        <v>8</v>
      </c>
      <c r="M3" s="163"/>
      <c r="N3" s="163"/>
      <c r="O3" s="164"/>
      <c r="P3" s="24" t="s">
        <v>75</v>
      </c>
      <c r="Q3" s="25"/>
      <c r="R3" s="25"/>
      <c r="S3" s="26"/>
    </row>
    <row r="4" spans="1:19" ht="24" customHeight="1">
      <c r="A4" s="173"/>
      <c r="B4" s="175"/>
      <c r="C4" s="177"/>
      <c r="D4" s="175"/>
      <c r="E4" s="175"/>
      <c r="F4" s="175"/>
      <c r="G4" s="175"/>
      <c r="H4" s="19" t="s">
        <v>9</v>
      </c>
      <c r="I4" s="20" t="s">
        <v>10</v>
      </c>
      <c r="J4" s="20" t="s">
        <v>11</v>
      </c>
      <c r="K4" s="20" t="s">
        <v>38</v>
      </c>
      <c r="L4" s="20">
        <v>1</v>
      </c>
      <c r="M4" s="20">
        <v>2</v>
      </c>
      <c r="N4" s="20">
        <v>3</v>
      </c>
      <c r="O4" s="20">
        <v>4</v>
      </c>
      <c r="P4" s="20">
        <v>1</v>
      </c>
      <c r="Q4" s="20">
        <v>2</v>
      </c>
      <c r="R4" s="20">
        <v>3</v>
      </c>
      <c r="S4" s="20">
        <v>4</v>
      </c>
    </row>
    <row r="5" spans="1:19" ht="21">
      <c r="A5" s="64" t="s">
        <v>42</v>
      </c>
      <c r="B5" s="90" t="s">
        <v>120</v>
      </c>
      <c r="C5" s="91"/>
      <c r="D5" s="92"/>
      <c r="E5" s="92"/>
      <c r="F5" s="93"/>
      <c r="G5" s="94"/>
      <c r="H5" s="95"/>
      <c r="I5" s="96">
        <f>+J5+K5</f>
        <v>0</v>
      </c>
      <c r="J5" s="96">
        <v>0</v>
      </c>
      <c r="K5" s="97"/>
      <c r="L5" s="96"/>
      <c r="M5" s="96"/>
      <c r="N5" s="96"/>
      <c r="O5" s="96">
        <f>+I5</f>
        <v>0</v>
      </c>
      <c r="P5" s="98"/>
      <c r="Q5" s="98"/>
      <c r="R5" s="98">
        <v>0</v>
      </c>
      <c r="S5" s="98">
        <v>0</v>
      </c>
    </row>
    <row r="6" spans="1:19" ht="20.25" customHeight="1">
      <c r="A6" s="142" t="s">
        <v>128</v>
      </c>
      <c r="B6" s="143"/>
      <c r="C6" s="143"/>
      <c r="D6" s="143"/>
      <c r="E6" s="143"/>
      <c r="F6" s="143"/>
      <c r="G6" s="144"/>
      <c r="H6" s="74"/>
      <c r="I6" s="82">
        <f t="shared" ref="I6:O6" si="0">SUM(I5:I5)</f>
        <v>0</v>
      </c>
      <c r="J6" s="82">
        <f t="shared" si="0"/>
        <v>0</v>
      </c>
      <c r="K6" s="82">
        <f t="shared" si="0"/>
        <v>0</v>
      </c>
      <c r="L6" s="82">
        <f t="shared" si="0"/>
        <v>0</v>
      </c>
      <c r="M6" s="82">
        <f t="shared" si="0"/>
        <v>0</v>
      </c>
      <c r="N6" s="82">
        <f t="shared" si="0"/>
        <v>0</v>
      </c>
      <c r="O6" s="82">
        <f t="shared" si="0"/>
        <v>0</v>
      </c>
      <c r="P6" s="74"/>
      <c r="Q6" s="74"/>
      <c r="R6" s="74"/>
      <c r="S6" s="74"/>
    </row>
    <row r="7" spans="1:19">
      <c r="A7" s="165" t="s">
        <v>41</v>
      </c>
      <c r="B7" s="167" t="s">
        <v>39</v>
      </c>
      <c r="C7" s="91"/>
      <c r="D7" s="92"/>
      <c r="E7" s="92"/>
      <c r="F7" s="99"/>
      <c r="G7" s="100"/>
      <c r="H7" s="101"/>
      <c r="I7" s="96">
        <f>+J7+K7</f>
        <v>0</v>
      </c>
      <c r="J7" s="96">
        <v>0</v>
      </c>
      <c r="K7" s="97"/>
      <c r="L7" s="96"/>
      <c r="M7" s="96"/>
      <c r="N7" s="96"/>
      <c r="O7" s="96">
        <f>+J7</f>
        <v>0</v>
      </c>
      <c r="P7" s="98"/>
      <c r="Q7" s="98"/>
      <c r="R7" s="98">
        <v>0</v>
      </c>
      <c r="S7" s="98">
        <v>0</v>
      </c>
    </row>
    <row r="8" spans="1:19">
      <c r="A8" s="166"/>
      <c r="B8" s="168"/>
      <c r="C8" s="91"/>
      <c r="D8" s="92"/>
      <c r="E8" s="92"/>
      <c r="F8" s="99"/>
      <c r="G8" s="100"/>
      <c r="H8" s="101"/>
      <c r="I8" s="96">
        <f>+J8+K8</f>
        <v>0</v>
      </c>
      <c r="J8" s="96">
        <v>0</v>
      </c>
      <c r="K8" s="97"/>
      <c r="L8" s="96"/>
      <c r="M8" s="96"/>
      <c r="N8" s="96"/>
      <c r="O8" s="96">
        <f t="shared" ref="O8:O10" si="1">+J8</f>
        <v>0</v>
      </c>
      <c r="P8" s="98"/>
      <c r="Q8" s="98"/>
      <c r="R8" s="98">
        <v>0</v>
      </c>
      <c r="S8" s="98">
        <v>0</v>
      </c>
    </row>
    <row r="9" spans="1:19">
      <c r="A9" s="166"/>
      <c r="B9" s="168"/>
      <c r="C9" s="91"/>
      <c r="D9" s="92"/>
      <c r="E9" s="92"/>
      <c r="F9" s="99"/>
      <c r="G9" s="100"/>
      <c r="H9" s="101"/>
      <c r="I9" s="96">
        <f>+J9+K9</f>
        <v>0</v>
      </c>
      <c r="J9" s="96">
        <v>0</v>
      </c>
      <c r="K9" s="97"/>
      <c r="L9" s="96"/>
      <c r="M9" s="96"/>
      <c r="N9" s="96"/>
      <c r="O9" s="96">
        <f t="shared" si="1"/>
        <v>0</v>
      </c>
      <c r="P9" s="98"/>
      <c r="Q9" s="98"/>
      <c r="R9" s="98">
        <v>0</v>
      </c>
      <c r="S9" s="98">
        <v>0</v>
      </c>
    </row>
    <row r="10" spans="1:19">
      <c r="A10" s="166"/>
      <c r="B10" s="168"/>
      <c r="C10" s="91"/>
      <c r="D10" s="92"/>
      <c r="E10" s="92"/>
      <c r="F10" s="99"/>
      <c r="G10" s="100"/>
      <c r="H10" s="101"/>
      <c r="I10" s="96">
        <f>+J10+K10</f>
        <v>0</v>
      </c>
      <c r="J10" s="96">
        <v>0</v>
      </c>
      <c r="K10" s="97"/>
      <c r="L10" s="96"/>
      <c r="M10" s="96"/>
      <c r="N10" s="96"/>
      <c r="O10" s="96">
        <f t="shared" si="1"/>
        <v>0</v>
      </c>
      <c r="P10" s="98"/>
      <c r="Q10" s="98"/>
      <c r="R10" s="98">
        <v>0</v>
      </c>
      <c r="S10" s="98">
        <v>0</v>
      </c>
    </row>
    <row r="11" spans="1:19" ht="11.25" customHeight="1">
      <c r="A11" s="166"/>
      <c r="B11" s="168"/>
      <c r="C11" s="102"/>
      <c r="D11" s="92"/>
      <c r="E11" s="92"/>
      <c r="F11" s="103" t="s">
        <v>80</v>
      </c>
      <c r="G11" s="102" t="s">
        <v>64</v>
      </c>
      <c r="H11" s="101"/>
      <c r="I11" s="97">
        <f>SUM(I7:I10)</f>
        <v>0</v>
      </c>
      <c r="J11" s="97">
        <f>SUM(J7:J10)</f>
        <v>0</v>
      </c>
      <c r="K11" s="97">
        <f t="shared" ref="K11:O11" si="2">SUM(K7:K10)</f>
        <v>0</v>
      </c>
      <c r="L11" s="97">
        <f t="shared" si="2"/>
        <v>0</v>
      </c>
      <c r="M11" s="97">
        <f t="shared" si="2"/>
        <v>0</v>
      </c>
      <c r="N11" s="97">
        <f t="shared" si="2"/>
        <v>0</v>
      </c>
      <c r="O11" s="97">
        <f t="shared" si="2"/>
        <v>0</v>
      </c>
      <c r="P11" s="98"/>
      <c r="Q11" s="98"/>
      <c r="R11" s="98"/>
      <c r="S11" s="98"/>
    </row>
    <row r="12" spans="1:19">
      <c r="A12" s="166"/>
      <c r="B12" s="168"/>
      <c r="C12" s="91"/>
      <c r="D12" s="92"/>
      <c r="E12" s="92"/>
      <c r="F12" s="99"/>
      <c r="G12" s="100"/>
      <c r="H12" s="101"/>
      <c r="I12" s="96">
        <f>+J12+K12</f>
        <v>0</v>
      </c>
      <c r="J12" s="96">
        <v>0</v>
      </c>
      <c r="K12" s="97"/>
      <c r="L12" s="96"/>
      <c r="M12" s="96"/>
      <c r="N12" s="96"/>
      <c r="O12" s="96">
        <f>+I12</f>
        <v>0</v>
      </c>
      <c r="P12" s="98"/>
      <c r="Q12" s="98"/>
      <c r="R12" s="98">
        <v>0</v>
      </c>
      <c r="S12" s="98">
        <v>0</v>
      </c>
    </row>
    <row r="13" spans="1:19">
      <c r="A13" s="166"/>
      <c r="B13" s="168"/>
      <c r="C13" s="91"/>
      <c r="D13" s="92"/>
      <c r="E13" s="92"/>
      <c r="F13" s="99"/>
      <c r="G13" s="100"/>
      <c r="H13" s="101"/>
      <c r="I13" s="96">
        <f>+J13+K13</f>
        <v>0</v>
      </c>
      <c r="J13" s="96">
        <v>0</v>
      </c>
      <c r="K13" s="97"/>
      <c r="L13" s="96"/>
      <c r="M13" s="96"/>
      <c r="N13" s="96"/>
      <c r="O13" s="96">
        <f t="shared" ref="O13:O14" si="3">+I13</f>
        <v>0</v>
      </c>
      <c r="P13" s="98"/>
      <c r="Q13" s="98"/>
      <c r="R13" s="98">
        <v>0</v>
      </c>
      <c r="S13" s="98">
        <v>0</v>
      </c>
    </row>
    <row r="14" spans="1:19">
      <c r="A14" s="166"/>
      <c r="B14" s="168"/>
      <c r="C14" s="91"/>
      <c r="D14" s="92"/>
      <c r="E14" s="92"/>
      <c r="F14" s="99"/>
      <c r="G14" s="100"/>
      <c r="H14" s="101"/>
      <c r="I14" s="96">
        <f>+J14+K14</f>
        <v>0</v>
      </c>
      <c r="J14" s="96">
        <v>0</v>
      </c>
      <c r="K14" s="97"/>
      <c r="L14" s="96"/>
      <c r="M14" s="96"/>
      <c r="N14" s="96"/>
      <c r="O14" s="96">
        <f t="shared" si="3"/>
        <v>0</v>
      </c>
      <c r="P14" s="98"/>
      <c r="Q14" s="98"/>
      <c r="R14" s="98">
        <v>0</v>
      </c>
      <c r="S14" s="98">
        <v>0</v>
      </c>
    </row>
    <row r="15" spans="1:19" ht="11.25" customHeight="1">
      <c r="A15" s="166"/>
      <c r="B15" s="168"/>
      <c r="C15" s="91"/>
      <c r="D15" s="92"/>
      <c r="E15" s="92"/>
      <c r="F15" s="103" t="s">
        <v>79</v>
      </c>
      <c r="G15" s="102" t="s">
        <v>69</v>
      </c>
      <c r="H15" s="101"/>
      <c r="I15" s="97">
        <f>SUM(I12:I14)</f>
        <v>0</v>
      </c>
      <c r="J15" s="97">
        <f t="shared" ref="J15:O15" si="4">SUM(J12:J14)</f>
        <v>0</v>
      </c>
      <c r="K15" s="97">
        <f t="shared" si="4"/>
        <v>0</v>
      </c>
      <c r="L15" s="97">
        <f t="shared" si="4"/>
        <v>0</v>
      </c>
      <c r="M15" s="97">
        <f t="shared" si="4"/>
        <v>0</v>
      </c>
      <c r="N15" s="97">
        <f t="shared" si="4"/>
        <v>0</v>
      </c>
      <c r="O15" s="97">
        <f t="shared" si="4"/>
        <v>0</v>
      </c>
      <c r="P15" s="98"/>
      <c r="Q15" s="98"/>
      <c r="R15" s="98"/>
      <c r="S15" s="98"/>
    </row>
    <row r="16" spans="1:19">
      <c r="A16" s="166"/>
      <c r="B16" s="168"/>
      <c r="C16" s="91"/>
      <c r="D16" s="92"/>
      <c r="E16" s="92"/>
      <c r="F16" s="99"/>
      <c r="G16" s="100"/>
      <c r="H16" s="101"/>
      <c r="I16" s="96">
        <f>+J16+K16</f>
        <v>0</v>
      </c>
      <c r="J16" s="96">
        <v>0</v>
      </c>
      <c r="K16" s="97"/>
      <c r="L16" s="96"/>
      <c r="M16" s="96"/>
      <c r="N16" s="96"/>
      <c r="O16" s="96">
        <f>+I16</f>
        <v>0</v>
      </c>
      <c r="P16" s="98"/>
      <c r="Q16" s="98"/>
      <c r="R16" s="98">
        <v>0</v>
      </c>
      <c r="S16" s="98">
        <v>0</v>
      </c>
    </row>
    <row r="17" spans="1:19">
      <c r="A17" s="166"/>
      <c r="B17" s="168"/>
      <c r="C17" s="91"/>
      <c r="D17" s="92"/>
      <c r="E17" s="92"/>
      <c r="F17" s="99"/>
      <c r="G17" s="100"/>
      <c r="H17" s="101"/>
      <c r="I17" s="96">
        <f>+J17+K17</f>
        <v>0</v>
      </c>
      <c r="J17" s="96">
        <v>0</v>
      </c>
      <c r="K17" s="97"/>
      <c r="L17" s="96"/>
      <c r="M17" s="96"/>
      <c r="N17" s="96"/>
      <c r="O17" s="96">
        <f t="shared" ref="O17:O20" si="5">+I17</f>
        <v>0</v>
      </c>
      <c r="P17" s="98"/>
      <c r="Q17" s="98"/>
      <c r="R17" s="98">
        <v>0</v>
      </c>
      <c r="S17" s="98">
        <v>0</v>
      </c>
    </row>
    <row r="18" spans="1:19">
      <c r="A18" s="166"/>
      <c r="B18" s="168"/>
      <c r="C18" s="91"/>
      <c r="D18" s="92"/>
      <c r="E18" s="92"/>
      <c r="F18" s="99"/>
      <c r="G18" s="100"/>
      <c r="H18" s="101"/>
      <c r="I18" s="96">
        <f>+J18+K18</f>
        <v>0</v>
      </c>
      <c r="J18" s="96">
        <v>0</v>
      </c>
      <c r="K18" s="97"/>
      <c r="L18" s="96"/>
      <c r="M18" s="96"/>
      <c r="N18" s="96"/>
      <c r="O18" s="96">
        <f t="shared" si="5"/>
        <v>0</v>
      </c>
      <c r="P18" s="98"/>
      <c r="Q18" s="98"/>
      <c r="R18" s="98">
        <v>0</v>
      </c>
      <c r="S18" s="98">
        <v>0</v>
      </c>
    </row>
    <row r="19" spans="1:19">
      <c r="A19" s="166"/>
      <c r="B19" s="168"/>
      <c r="C19" s="91"/>
      <c r="D19" s="92"/>
      <c r="E19" s="92"/>
      <c r="F19" s="99"/>
      <c r="G19" s="100"/>
      <c r="H19" s="101"/>
      <c r="I19" s="96">
        <f>+J19+K19</f>
        <v>0</v>
      </c>
      <c r="J19" s="96">
        <v>0</v>
      </c>
      <c r="K19" s="97"/>
      <c r="L19" s="96"/>
      <c r="M19" s="96"/>
      <c r="N19" s="96"/>
      <c r="O19" s="96">
        <f t="shared" si="5"/>
        <v>0</v>
      </c>
      <c r="P19" s="98"/>
      <c r="Q19" s="98"/>
      <c r="R19" s="98">
        <v>0</v>
      </c>
      <c r="S19" s="98">
        <v>0</v>
      </c>
    </row>
    <row r="20" spans="1:19">
      <c r="A20" s="166"/>
      <c r="B20" s="168"/>
      <c r="C20" s="91"/>
      <c r="D20" s="92"/>
      <c r="E20" s="92"/>
      <c r="F20" s="99"/>
      <c r="G20" s="100"/>
      <c r="H20" s="101"/>
      <c r="I20" s="96">
        <f>+J20+K20</f>
        <v>0</v>
      </c>
      <c r="J20" s="96">
        <v>0</v>
      </c>
      <c r="K20" s="97"/>
      <c r="L20" s="96"/>
      <c r="M20" s="96"/>
      <c r="N20" s="96"/>
      <c r="O20" s="96">
        <f t="shared" si="5"/>
        <v>0</v>
      </c>
      <c r="P20" s="98"/>
      <c r="Q20" s="98"/>
      <c r="R20" s="98">
        <v>0</v>
      </c>
      <c r="S20" s="98">
        <v>0</v>
      </c>
    </row>
    <row r="21" spans="1:19" ht="11.25" customHeight="1">
      <c r="A21" s="166"/>
      <c r="B21" s="168"/>
      <c r="C21" s="91"/>
      <c r="D21" s="92"/>
      <c r="E21" s="92"/>
      <c r="F21" s="103" t="s">
        <v>81</v>
      </c>
      <c r="G21" s="102" t="s">
        <v>70</v>
      </c>
      <c r="H21" s="101"/>
      <c r="I21" s="97">
        <f>SUM(I16:I20)</f>
        <v>0</v>
      </c>
      <c r="J21" s="97">
        <f t="shared" ref="J21:O21" si="6">SUM(J16:J20)</f>
        <v>0</v>
      </c>
      <c r="K21" s="97">
        <f t="shared" si="6"/>
        <v>0</v>
      </c>
      <c r="L21" s="97">
        <f t="shared" si="6"/>
        <v>0</v>
      </c>
      <c r="M21" s="97">
        <f t="shared" si="6"/>
        <v>0</v>
      </c>
      <c r="N21" s="97">
        <f t="shared" si="6"/>
        <v>0</v>
      </c>
      <c r="O21" s="97">
        <f t="shared" si="6"/>
        <v>0</v>
      </c>
      <c r="P21" s="98"/>
      <c r="Q21" s="98"/>
      <c r="R21" s="98"/>
      <c r="S21" s="98"/>
    </row>
    <row r="22" spans="1:19">
      <c r="A22" s="166"/>
      <c r="B22" s="168"/>
      <c r="C22" s="91"/>
      <c r="D22" s="92"/>
      <c r="E22" s="92"/>
      <c r="F22" s="99"/>
      <c r="G22" s="100"/>
      <c r="H22" s="101"/>
      <c r="I22" s="96">
        <f>+J22+K22</f>
        <v>0</v>
      </c>
      <c r="J22" s="96">
        <v>0</v>
      </c>
      <c r="K22" s="97"/>
      <c r="L22" s="96"/>
      <c r="M22" s="96"/>
      <c r="N22" s="96"/>
      <c r="O22" s="96">
        <f>+I22</f>
        <v>0</v>
      </c>
      <c r="P22" s="98"/>
      <c r="Q22" s="98"/>
      <c r="R22" s="98">
        <v>0</v>
      </c>
      <c r="S22" s="98">
        <v>0</v>
      </c>
    </row>
    <row r="23" spans="1:19">
      <c r="A23" s="166"/>
      <c r="B23" s="168"/>
      <c r="C23" s="91"/>
      <c r="D23" s="92"/>
      <c r="E23" s="92"/>
      <c r="F23" s="99"/>
      <c r="G23" s="100"/>
      <c r="H23" s="101"/>
      <c r="I23" s="96">
        <f>+J23+K23</f>
        <v>0</v>
      </c>
      <c r="J23" s="96">
        <v>0</v>
      </c>
      <c r="K23" s="97"/>
      <c r="L23" s="96"/>
      <c r="M23" s="96"/>
      <c r="N23" s="96"/>
      <c r="O23" s="96">
        <f t="shared" ref="O23:O24" si="7">+I23</f>
        <v>0</v>
      </c>
      <c r="P23" s="98"/>
      <c r="Q23" s="98"/>
      <c r="R23" s="98">
        <v>0</v>
      </c>
      <c r="S23" s="98">
        <v>0</v>
      </c>
    </row>
    <row r="24" spans="1:19">
      <c r="A24" s="166"/>
      <c r="B24" s="168"/>
      <c r="C24" s="91"/>
      <c r="D24" s="92"/>
      <c r="E24" s="92"/>
      <c r="F24" s="99"/>
      <c r="G24" s="100"/>
      <c r="H24" s="101"/>
      <c r="I24" s="96">
        <f>+J24+K24</f>
        <v>0</v>
      </c>
      <c r="J24" s="96">
        <v>0</v>
      </c>
      <c r="K24" s="97"/>
      <c r="L24" s="96"/>
      <c r="M24" s="96"/>
      <c r="N24" s="96"/>
      <c r="O24" s="96">
        <f t="shared" si="7"/>
        <v>0</v>
      </c>
      <c r="P24" s="98"/>
      <c r="Q24" s="98"/>
      <c r="R24" s="98">
        <v>0</v>
      </c>
      <c r="S24" s="98">
        <v>0</v>
      </c>
    </row>
    <row r="25" spans="1:19">
      <c r="A25" s="166"/>
      <c r="B25" s="168"/>
      <c r="C25" s="91"/>
      <c r="D25" s="92"/>
      <c r="E25" s="92"/>
      <c r="F25" s="99"/>
      <c r="G25" s="100"/>
      <c r="H25" s="101"/>
      <c r="I25" s="96">
        <f>+J25+K25</f>
        <v>0</v>
      </c>
      <c r="J25" s="96">
        <v>0</v>
      </c>
      <c r="K25" s="97"/>
      <c r="L25" s="96"/>
      <c r="M25" s="96"/>
      <c r="N25" s="96"/>
      <c r="O25" s="96">
        <f>+I25</f>
        <v>0</v>
      </c>
      <c r="P25" s="98"/>
      <c r="Q25" s="98"/>
      <c r="R25" s="98">
        <v>0</v>
      </c>
      <c r="S25" s="98">
        <v>0</v>
      </c>
    </row>
    <row r="26" spans="1:19" ht="12.75" customHeight="1">
      <c r="A26" s="166"/>
      <c r="B26" s="169"/>
      <c r="C26" s="91"/>
      <c r="D26" s="92"/>
      <c r="E26" s="92"/>
      <c r="F26" s="103" t="s">
        <v>82</v>
      </c>
      <c r="G26" s="102" t="s">
        <v>71</v>
      </c>
      <c r="H26" s="101"/>
      <c r="I26" s="97">
        <f>SUM(I22:I25)</f>
        <v>0</v>
      </c>
      <c r="J26" s="97">
        <f t="shared" ref="J26:O26" si="8">SUM(J22:J25)</f>
        <v>0</v>
      </c>
      <c r="K26" s="97">
        <f t="shared" si="8"/>
        <v>0</v>
      </c>
      <c r="L26" s="97">
        <f t="shared" si="8"/>
        <v>0</v>
      </c>
      <c r="M26" s="97">
        <f t="shared" si="8"/>
        <v>0</v>
      </c>
      <c r="N26" s="97">
        <f t="shared" si="8"/>
        <v>0</v>
      </c>
      <c r="O26" s="97">
        <f t="shared" si="8"/>
        <v>0</v>
      </c>
      <c r="P26" s="98"/>
      <c r="Q26" s="98"/>
      <c r="R26" s="98"/>
      <c r="S26" s="98"/>
    </row>
    <row r="27" spans="1:19" ht="21.75" customHeight="1">
      <c r="A27" s="166"/>
      <c r="B27" s="156" t="s">
        <v>123</v>
      </c>
      <c r="C27" s="157"/>
      <c r="D27" s="157"/>
      <c r="E27" s="157"/>
      <c r="F27" s="157"/>
      <c r="G27" s="158"/>
      <c r="H27" s="72"/>
      <c r="I27" s="73">
        <f>+I11+I15+I21+I26</f>
        <v>0</v>
      </c>
      <c r="J27" s="73">
        <f>+J11+J15+J21+J26</f>
        <v>0</v>
      </c>
      <c r="K27" s="73">
        <f t="shared" ref="K27:O27" si="9">+K11+K15+K21+K26</f>
        <v>0</v>
      </c>
      <c r="L27" s="73">
        <f t="shared" si="9"/>
        <v>0</v>
      </c>
      <c r="M27" s="73">
        <f t="shared" si="9"/>
        <v>0</v>
      </c>
      <c r="N27" s="73">
        <f t="shared" si="9"/>
        <v>0</v>
      </c>
      <c r="O27" s="73">
        <f t="shared" si="9"/>
        <v>0</v>
      </c>
      <c r="P27" s="73"/>
      <c r="Q27" s="73"/>
      <c r="R27" s="73"/>
      <c r="S27" s="73"/>
    </row>
    <row r="28" spans="1:19">
      <c r="A28" s="166"/>
      <c r="B28" s="167" t="s">
        <v>40</v>
      </c>
      <c r="C28" s="91"/>
      <c r="D28" s="92"/>
      <c r="E28" s="92"/>
      <c r="F28" s="99"/>
      <c r="G28" s="100"/>
      <c r="H28" s="101"/>
      <c r="I28" s="96">
        <f>+J28+K28</f>
        <v>0</v>
      </c>
      <c r="J28" s="96">
        <v>0</v>
      </c>
      <c r="K28" s="96">
        <v>0</v>
      </c>
      <c r="L28" s="96"/>
      <c r="M28" s="96"/>
      <c r="N28" s="96"/>
      <c r="O28" s="96">
        <f>+I28</f>
        <v>0</v>
      </c>
      <c r="P28" s="98"/>
      <c r="Q28" s="98"/>
      <c r="R28" s="98">
        <v>0</v>
      </c>
      <c r="S28" s="98">
        <v>0</v>
      </c>
    </row>
    <row r="29" spans="1:19">
      <c r="A29" s="166"/>
      <c r="B29" s="168"/>
      <c r="C29" s="91"/>
      <c r="D29" s="92"/>
      <c r="E29" s="92"/>
      <c r="F29" s="99"/>
      <c r="G29" s="100"/>
      <c r="H29" s="101"/>
      <c r="I29" s="96">
        <f>+J29+K29</f>
        <v>0</v>
      </c>
      <c r="J29" s="96">
        <v>0</v>
      </c>
      <c r="K29" s="96">
        <v>0</v>
      </c>
      <c r="L29" s="96"/>
      <c r="M29" s="96"/>
      <c r="N29" s="96">
        <f>+I29</f>
        <v>0</v>
      </c>
      <c r="O29" s="96">
        <v>0</v>
      </c>
      <c r="P29" s="98"/>
      <c r="Q29" s="98"/>
      <c r="R29" s="98">
        <v>0</v>
      </c>
      <c r="S29" s="98"/>
    </row>
    <row r="30" spans="1:19">
      <c r="A30" s="166"/>
      <c r="B30" s="168"/>
      <c r="C30" s="91"/>
      <c r="D30" s="92"/>
      <c r="E30" s="92"/>
      <c r="F30" s="103" t="s">
        <v>84</v>
      </c>
      <c r="G30" s="102" t="s">
        <v>72</v>
      </c>
      <c r="H30" s="101"/>
      <c r="I30" s="97">
        <f>SUM(I28:I29)</f>
        <v>0</v>
      </c>
      <c r="J30" s="97">
        <f t="shared" ref="J30:O30" si="10">SUM(J28:J29)</f>
        <v>0</v>
      </c>
      <c r="K30" s="97">
        <f t="shared" si="10"/>
        <v>0</v>
      </c>
      <c r="L30" s="97">
        <f t="shared" si="10"/>
        <v>0</v>
      </c>
      <c r="M30" s="97">
        <f t="shared" si="10"/>
        <v>0</v>
      </c>
      <c r="N30" s="97">
        <f t="shared" si="10"/>
        <v>0</v>
      </c>
      <c r="O30" s="97">
        <f t="shared" si="10"/>
        <v>0</v>
      </c>
      <c r="P30" s="98"/>
      <c r="Q30" s="98"/>
      <c r="R30" s="98"/>
      <c r="S30" s="98"/>
    </row>
    <row r="31" spans="1:19">
      <c r="A31" s="166"/>
      <c r="B31" s="168"/>
      <c r="C31" s="91"/>
      <c r="D31" s="92"/>
      <c r="E31" s="92"/>
      <c r="F31" s="99"/>
      <c r="G31" s="100"/>
      <c r="H31" s="101"/>
      <c r="I31" s="96">
        <f>+J31+K31</f>
        <v>0</v>
      </c>
      <c r="J31" s="96">
        <v>0</v>
      </c>
      <c r="K31" s="96">
        <v>0</v>
      </c>
      <c r="L31" s="96">
        <f>+K31</f>
        <v>0</v>
      </c>
      <c r="M31" s="96"/>
      <c r="N31" s="96"/>
      <c r="O31" s="96"/>
      <c r="P31" s="98">
        <v>0</v>
      </c>
      <c r="Q31" s="98"/>
      <c r="R31" s="98"/>
      <c r="S31" s="98"/>
    </row>
    <row r="32" spans="1:19">
      <c r="A32" s="166"/>
      <c r="B32" s="168"/>
      <c r="C32" s="91"/>
      <c r="D32" s="92"/>
      <c r="E32" s="92"/>
      <c r="F32" s="99"/>
      <c r="G32" s="100"/>
      <c r="H32" s="101"/>
      <c r="I32" s="96">
        <f>+J32+K32</f>
        <v>0</v>
      </c>
      <c r="J32" s="96">
        <v>0</v>
      </c>
      <c r="K32" s="96">
        <v>0</v>
      </c>
      <c r="L32" s="96">
        <v>0</v>
      </c>
      <c r="M32" s="96"/>
      <c r="N32" s="96"/>
      <c r="O32" s="96"/>
      <c r="P32" s="98">
        <v>0</v>
      </c>
      <c r="Q32" s="98"/>
      <c r="R32" s="98"/>
      <c r="S32" s="98"/>
    </row>
    <row r="33" spans="1:20">
      <c r="A33" s="166"/>
      <c r="B33" s="168"/>
      <c r="C33" s="91"/>
      <c r="D33" s="92"/>
      <c r="E33" s="92"/>
      <c r="F33" s="99"/>
      <c r="G33" s="100"/>
      <c r="H33" s="101"/>
      <c r="I33" s="96">
        <f>+J33+K33</f>
        <v>0</v>
      </c>
      <c r="J33" s="96">
        <v>0</v>
      </c>
      <c r="K33" s="96">
        <v>0</v>
      </c>
      <c r="L33" s="96"/>
      <c r="M33" s="96"/>
      <c r="N33" s="96"/>
      <c r="O33" s="96">
        <f>+I33</f>
        <v>0</v>
      </c>
      <c r="P33" s="98"/>
      <c r="Q33" s="98"/>
      <c r="R33" s="98">
        <v>0</v>
      </c>
      <c r="S33" s="98">
        <v>0</v>
      </c>
    </row>
    <row r="34" spans="1:20" ht="12.75" customHeight="1">
      <c r="A34" s="166"/>
      <c r="B34" s="169"/>
      <c r="C34" s="104"/>
      <c r="D34" s="92"/>
      <c r="E34" s="92"/>
      <c r="F34" s="103" t="s">
        <v>80</v>
      </c>
      <c r="G34" s="102" t="s">
        <v>74</v>
      </c>
      <c r="H34" s="101"/>
      <c r="I34" s="97">
        <f>SUM(I31:I33)</f>
        <v>0</v>
      </c>
      <c r="J34" s="97">
        <f>SUM(J31:J33)</f>
        <v>0</v>
      </c>
      <c r="K34" s="97">
        <f t="shared" ref="K34:O34" si="11">SUM(K31:K33)</f>
        <v>0</v>
      </c>
      <c r="L34" s="97">
        <f t="shared" si="11"/>
        <v>0</v>
      </c>
      <c r="M34" s="97">
        <f t="shared" si="11"/>
        <v>0</v>
      </c>
      <c r="N34" s="97">
        <f t="shared" si="11"/>
        <v>0</v>
      </c>
      <c r="O34" s="97">
        <f t="shared" si="11"/>
        <v>0</v>
      </c>
      <c r="P34" s="98"/>
      <c r="Q34" s="98"/>
      <c r="R34" s="98"/>
      <c r="S34" s="98"/>
    </row>
    <row r="35" spans="1:20" ht="21.75" customHeight="1">
      <c r="A35" s="166"/>
      <c r="B35" s="156" t="s">
        <v>124</v>
      </c>
      <c r="C35" s="157"/>
      <c r="D35" s="157"/>
      <c r="E35" s="157"/>
      <c r="F35" s="157"/>
      <c r="G35" s="158"/>
      <c r="H35" s="72"/>
      <c r="I35" s="73">
        <f>+I30+I34</f>
        <v>0</v>
      </c>
      <c r="J35" s="73">
        <f>+J30+J34</f>
        <v>0</v>
      </c>
      <c r="K35" s="73">
        <f>+K30+K34</f>
        <v>0</v>
      </c>
      <c r="L35" s="73">
        <f t="shared" ref="L35:O35" si="12">+L30+L34</f>
        <v>0</v>
      </c>
      <c r="M35" s="73">
        <f t="shared" si="12"/>
        <v>0</v>
      </c>
      <c r="N35" s="73">
        <f t="shared" si="12"/>
        <v>0</v>
      </c>
      <c r="O35" s="73">
        <f t="shared" si="12"/>
        <v>0</v>
      </c>
      <c r="P35" s="73"/>
      <c r="Q35" s="73"/>
      <c r="R35" s="73"/>
      <c r="S35" s="73"/>
    </row>
    <row r="36" spans="1:20" ht="25.5" customHeight="1">
      <c r="A36" s="142" t="s">
        <v>125</v>
      </c>
      <c r="B36" s="143"/>
      <c r="C36" s="143"/>
      <c r="D36" s="143"/>
      <c r="E36" s="143"/>
      <c r="F36" s="143"/>
      <c r="G36" s="144"/>
      <c r="H36" s="74"/>
      <c r="I36" s="75">
        <f>+I27+I35</f>
        <v>0</v>
      </c>
      <c r="J36" s="75">
        <f t="shared" ref="J36:O36" si="13">+J27+J35</f>
        <v>0</v>
      </c>
      <c r="K36" s="75">
        <f t="shared" si="13"/>
        <v>0</v>
      </c>
      <c r="L36" s="75">
        <f t="shared" si="13"/>
        <v>0</v>
      </c>
      <c r="M36" s="75">
        <f t="shared" si="13"/>
        <v>0</v>
      </c>
      <c r="N36" s="75">
        <f t="shared" si="13"/>
        <v>0</v>
      </c>
      <c r="O36" s="75">
        <f t="shared" si="13"/>
        <v>0</v>
      </c>
      <c r="P36" s="74"/>
      <c r="Q36" s="74"/>
      <c r="R36" s="74"/>
      <c r="S36" s="74"/>
    </row>
    <row r="37" spans="1:20" ht="82.5" customHeight="1">
      <c r="A37" s="151" t="s">
        <v>43</v>
      </c>
      <c r="B37" s="153" t="s">
        <v>44</v>
      </c>
      <c r="C37" s="105" t="s">
        <v>45</v>
      </c>
      <c r="D37" s="106" t="s">
        <v>37</v>
      </c>
      <c r="E37" s="106" t="s">
        <v>49</v>
      </c>
      <c r="F37" s="107" t="s">
        <v>130</v>
      </c>
      <c r="G37" s="107" t="s">
        <v>50</v>
      </c>
      <c r="H37" s="101"/>
      <c r="I37" s="96">
        <f>+J37+K37</f>
        <v>47500</v>
      </c>
      <c r="J37" s="96">
        <v>47500</v>
      </c>
      <c r="K37" s="96">
        <v>0</v>
      </c>
      <c r="L37" s="96"/>
      <c r="M37" s="96"/>
      <c r="N37" s="96"/>
      <c r="O37" s="96">
        <f>+I37</f>
        <v>47500</v>
      </c>
      <c r="P37" s="108"/>
      <c r="Q37" s="108"/>
      <c r="R37" s="98">
        <v>0.1</v>
      </c>
      <c r="S37" s="98">
        <v>0.9</v>
      </c>
    </row>
    <row r="38" spans="1:20" ht="118.5" customHeight="1">
      <c r="A38" s="152"/>
      <c r="B38" s="154"/>
      <c r="C38" s="105" t="s">
        <v>12</v>
      </c>
      <c r="D38" s="106" t="s">
        <v>37</v>
      </c>
      <c r="E38" s="106" t="s">
        <v>49</v>
      </c>
      <c r="F38" s="107" t="s">
        <v>130</v>
      </c>
      <c r="G38" s="107" t="s">
        <v>50</v>
      </c>
      <c r="H38" s="101"/>
      <c r="I38" s="96">
        <f t="shared" ref="I38:I86" si="14">+J38+K38</f>
        <v>17000</v>
      </c>
      <c r="J38" s="96">
        <v>17000</v>
      </c>
      <c r="K38" s="96">
        <v>0</v>
      </c>
      <c r="L38" s="96"/>
      <c r="M38" s="96"/>
      <c r="N38" s="96"/>
      <c r="O38" s="96">
        <f t="shared" ref="O38:O46" si="15">+I38</f>
        <v>17000</v>
      </c>
      <c r="P38" s="108"/>
      <c r="Q38" s="108"/>
      <c r="R38" s="98">
        <v>0.1</v>
      </c>
      <c r="S38" s="98">
        <v>0.9</v>
      </c>
    </row>
    <row r="39" spans="1:20" ht="77.25" customHeight="1">
      <c r="A39" s="152"/>
      <c r="B39" s="154"/>
      <c r="C39" s="105" t="s">
        <v>46</v>
      </c>
      <c r="D39" s="106" t="s">
        <v>37</v>
      </c>
      <c r="E39" s="106" t="s">
        <v>49</v>
      </c>
      <c r="F39" s="107" t="s">
        <v>130</v>
      </c>
      <c r="G39" s="107" t="s">
        <v>50</v>
      </c>
      <c r="H39" s="101"/>
      <c r="I39" s="96">
        <f t="shared" si="14"/>
        <v>20400</v>
      </c>
      <c r="J39" s="96">
        <v>20400</v>
      </c>
      <c r="K39" s="96">
        <v>0</v>
      </c>
      <c r="L39" s="96"/>
      <c r="M39" s="96"/>
      <c r="N39" s="96"/>
      <c r="O39" s="96">
        <f t="shared" si="15"/>
        <v>20400</v>
      </c>
      <c r="P39" s="108"/>
      <c r="Q39" s="108"/>
      <c r="R39" s="98">
        <v>0.1</v>
      </c>
      <c r="S39" s="98">
        <v>0.9</v>
      </c>
    </row>
    <row r="40" spans="1:20" ht="36" customHeight="1">
      <c r="A40" s="152"/>
      <c r="B40" s="154"/>
      <c r="C40" s="105" t="s">
        <v>13</v>
      </c>
      <c r="D40" s="106" t="s">
        <v>37</v>
      </c>
      <c r="E40" s="106" t="s">
        <v>49</v>
      </c>
      <c r="F40" s="107" t="s">
        <v>130</v>
      </c>
      <c r="G40" s="107" t="s">
        <v>50</v>
      </c>
      <c r="H40" s="101"/>
      <c r="I40" s="96">
        <f t="shared" si="14"/>
        <v>17000</v>
      </c>
      <c r="J40" s="96">
        <v>17000</v>
      </c>
      <c r="K40" s="96">
        <v>0</v>
      </c>
      <c r="L40" s="96"/>
      <c r="M40" s="96"/>
      <c r="N40" s="96"/>
      <c r="O40" s="96">
        <f t="shared" si="15"/>
        <v>17000</v>
      </c>
      <c r="P40" s="108"/>
      <c r="Q40" s="108"/>
      <c r="R40" s="98">
        <v>0.1</v>
      </c>
      <c r="S40" s="98">
        <v>0.9</v>
      </c>
      <c r="T40" s="23"/>
    </row>
    <row r="41" spans="1:20" ht="45">
      <c r="A41" s="152"/>
      <c r="B41" s="154"/>
      <c r="C41" s="105" t="s">
        <v>14</v>
      </c>
      <c r="D41" s="106" t="s">
        <v>37</v>
      </c>
      <c r="E41" s="106" t="s">
        <v>49</v>
      </c>
      <c r="F41" s="107" t="s">
        <v>130</v>
      </c>
      <c r="G41" s="107" t="s">
        <v>50</v>
      </c>
      <c r="H41" s="101"/>
      <c r="I41" s="96">
        <f t="shared" si="14"/>
        <v>13600</v>
      </c>
      <c r="J41" s="96">
        <v>13600</v>
      </c>
      <c r="K41" s="96">
        <v>0</v>
      </c>
      <c r="L41" s="96"/>
      <c r="M41" s="96"/>
      <c r="N41" s="96"/>
      <c r="O41" s="96">
        <f t="shared" si="15"/>
        <v>13600</v>
      </c>
      <c r="P41" s="108"/>
      <c r="Q41" s="108"/>
      <c r="R41" s="98">
        <v>0.1</v>
      </c>
      <c r="S41" s="98">
        <v>0.9</v>
      </c>
    </row>
    <row r="42" spans="1:20" ht="45">
      <c r="A42" s="152"/>
      <c r="B42" s="154"/>
      <c r="C42" s="105" t="s">
        <v>15</v>
      </c>
      <c r="D42" s="106" t="s">
        <v>37</v>
      </c>
      <c r="E42" s="106" t="s">
        <v>49</v>
      </c>
      <c r="F42" s="107" t="s">
        <v>130</v>
      </c>
      <c r="G42" s="107" t="s">
        <v>50</v>
      </c>
      <c r="H42" s="101"/>
      <c r="I42" s="96">
        <f t="shared" si="14"/>
        <v>10180</v>
      </c>
      <c r="J42" s="96">
        <v>10180</v>
      </c>
      <c r="K42" s="96">
        <v>0</v>
      </c>
      <c r="L42" s="96"/>
      <c r="M42" s="96"/>
      <c r="N42" s="96"/>
      <c r="O42" s="96">
        <f t="shared" si="15"/>
        <v>10180</v>
      </c>
      <c r="P42" s="108"/>
      <c r="Q42" s="108"/>
      <c r="R42" s="98">
        <v>0.1</v>
      </c>
      <c r="S42" s="98">
        <v>0.9</v>
      </c>
    </row>
    <row r="43" spans="1:20" ht="34.5" customHeight="1">
      <c r="A43" s="152"/>
      <c r="B43" s="154"/>
      <c r="C43" s="105" t="s">
        <v>16</v>
      </c>
      <c r="D43" s="106" t="s">
        <v>37</v>
      </c>
      <c r="E43" s="106" t="s">
        <v>49</v>
      </c>
      <c r="F43" s="107" t="s">
        <v>130</v>
      </c>
      <c r="G43" s="107" t="s">
        <v>50</v>
      </c>
      <c r="H43" s="101"/>
      <c r="I43" s="96">
        <f t="shared" si="14"/>
        <v>20400</v>
      </c>
      <c r="J43" s="96">
        <v>20400</v>
      </c>
      <c r="K43" s="96">
        <v>0</v>
      </c>
      <c r="L43" s="96"/>
      <c r="M43" s="96"/>
      <c r="N43" s="96"/>
      <c r="O43" s="96">
        <f t="shared" si="15"/>
        <v>20400</v>
      </c>
      <c r="P43" s="108"/>
      <c r="Q43" s="108"/>
      <c r="R43" s="98">
        <v>0.1</v>
      </c>
      <c r="S43" s="98">
        <v>0.9</v>
      </c>
    </row>
    <row r="44" spans="1:20" ht="106.5" customHeight="1">
      <c r="A44" s="152"/>
      <c r="B44" s="154"/>
      <c r="C44" s="105" t="s">
        <v>63</v>
      </c>
      <c r="D44" s="106" t="s">
        <v>37</v>
      </c>
      <c r="E44" s="106" t="s">
        <v>49</v>
      </c>
      <c r="F44" s="107" t="s">
        <v>130</v>
      </c>
      <c r="G44" s="107" t="s">
        <v>50</v>
      </c>
      <c r="H44" s="101"/>
      <c r="I44" s="96">
        <f t="shared" si="14"/>
        <v>27200</v>
      </c>
      <c r="J44" s="96">
        <v>27200</v>
      </c>
      <c r="K44" s="96">
        <v>0</v>
      </c>
      <c r="L44" s="96"/>
      <c r="M44" s="96"/>
      <c r="N44" s="96"/>
      <c r="O44" s="96">
        <f t="shared" si="15"/>
        <v>27200</v>
      </c>
      <c r="P44" s="108"/>
      <c r="Q44" s="108"/>
      <c r="R44" s="98">
        <v>0.1</v>
      </c>
      <c r="S44" s="98">
        <v>0.9</v>
      </c>
    </row>
    <row r="45" spans="1:20" ht="45">
      <c r="A45" s="152"/>
      <c r="B45" s="154"/>
      <c r="C45" s="105" t="s">
        <v>17</v>
      </c>
      <c r="D45" s="106" t="s">
        <v>37</v>
      </c>
      <c r="E45" s="106" t="s">
        <v>49</v>
      </c>
      <c r="F45" s="107" t="s">
        <v>130</v>
      </c>
      <c r="G45" s="107" t="s">
        <v>50</v>
      </c>
      <c r="H45" s="101"/>
      <c r="I45" s="96">
        <f t="shared" si="14"/>
        <v>20400</v>
      </c>
      <c r="J45" s="96">
        <v>20400</v>
      </c>
      <c r="K45" s="96">
        <v>0</v>
      </c>
      <c r="L45" s="96"/>
      <c r="M45" s="96"/>
      <c r="N45" s="96"/>
      <c r="O45" s="96">
        <f t="shared" si="15"/>
        <v>20400</v>
      </c>
      <c r="P45" s="108"/>
      <c r="Q45" s="108"/>
      <c r="R45" s="98">
        <v>0.1</v>
      </c>
      <c r="S45" s="98">
        <v>0.9</v>
      </c>
    </row>
    <row r="46" spans="1:20" ht="45">
      <c r="A46" s="152"/>
      <c r="B46" s="154"/>
      <c r="C46" s="105" t="s">
        <v>18</v>
      </c>
      <c r="D46" s="106" t="s">
        <v>37</v>
      </c>
      <c r="E46" s="106" t="s">
        <v>49</v>
      </c>
      <c r="F46" s="107" t="s">
        <v>130</v>
      </c>
      <c r="G46" s="107" t="s">
        <v>50</v>
      </c>
      <c r="H46" s="101"/>
      <c r="I46" s="96">
        <f t="shared" si="14"/>
        <v>10200</v>
      </c>
      <c r="J46" s="96">
        <v>7200</v>
      </c>
      <c r="K46" s="96">
        <v>3000</v>
      </c>
      <c r="L46" s="96"/>
      <c r="M46" s="96"/>
      <c r="N46" s="96"/>
      <c r="O46" s="96">
        <f t="shared" si="15"/>
        <v>10200</v>
      </c>
      <c r="P46" s="108"/>
      <c r="Q46" s="108"/>
      <c r="R46" s="98">
        <v>0.1</v>
      </c>
      <c r="S46" s="98">
        <v>0.9</v>
      </c>
    </row>
    <row r="47" spans="1:20" ht="17.25" customHeight="1">
      <c r="A47" s="152"/>
      <c r="B47" s="154"/>
      <c r="C47" s="109"/>
      <c r="D47" s="110"/>
      <c r="E47" s="111"/>
      <c r="F47" s="112" t="s">
        <v>80</v>
      </c>
      <c r="G47" s="109" t="s">
        <v>64</v>
      </c>
      <c r="H47" s="101"/>
      <c r="I47" s="97">
        <f>SUM(I37:I46)</f>
        <v>203880</v>
      </c>
      <c r="J47" s="97">
        <f t="shared" ref="J47:O47" si="16">SUM(J37:J46)</f>
        <v>200880</v>
      </c>
      <c r="K47" s="97">
        <f t="shared" si="16"/>
        <v>3000</v>
      </c>
      <c r="L47" s="97">
        <f t="shared" si="16"/>
        <v>0</v>
      </c>
      <c r="M47" s="97">
        <f t="shared" si="16"/>
        <v>0</v>
      </c>
      <c r="N47" s="97">
        <f t="shared" si="16"/>
        <v>0</v>
      </c>
      <c r="O47" s="97">
        <f t="shared" si="16"/>
        <v>203880</v>
      </c>
      <c r="P47" s="98"/>
      <c r="Q47" s="108"/>
      <c r="R47" s="108"/>
      <c r="S47" s="98"/>
    </row>
    <row r="48" spans="1:20" ht="57.75" customHeight="1">
      <c r="A48" s="152"/>
      <c r="B48" s="154"/>
      <c r="C48" s="105" t="s">
        <v>19</v>
      </c>
      <c r="D48" s="106" t="s">
        <v>37</v>
      </c>
      <c r="E48" s="106" t="s">
        <v>49</v>
      </c>
      <c r="F48" s="107" t="s">
        <v>130</v>
      </c>
      <c r="G48" s="107" t="s">
        <v>50</v>
      </c>
      <c r="H48" s="101"/>
      <c r="I48" s="96">
        <f t="shared" si="14"/>
        <v>40800</v>
      </c>
      <c r="J48" s="96">
        <f>27800</f>
        <v>27800</v>
      </c>
      <c r="K48" s="96">
        <v>13000</v>
      </c>
      <c r="L48" s="96"/>
      <c r="M48" s="96"/>
      <c r="N48" s="96"/>
      <c r="O48" s="96">
        <f>+I48</f>
        <v>40800</v>
      </c>
      <c r="P48" s="108"/>
      <c r="Q48" s="108"/>
      <c r="R48" s="98">
        <v>0.1</v>
      </c>
      <c r="S48" s="98">
        <v>0.9</v>
      </c>
    </row>
    <row r="49" spans="1:19" ht="60" customHeight="1">
      <c r="A49" s="152"/>
      <c r="B49" s="154"/>
      <c r="C49" s="105" t="s">
        <v>47</v>
      </c>
      <c r="D49" s="106" t="s">
        <v>37</v>
      </c>
      <c r="E49" s="106" t="s">
        <v>49</v>
      </c>
      <c r="F49" s="107" t="s">
        <v>130</v>
      </c>
      <c r="G49" s="107" t="s">
        <v>50</v>
      </c>
      <c r="H49" s="101"/>
      <c r="I49" s="96">
        <f t="shared" si="14"/>
        <v>27200</v>
      </c>
      <c r="J49" s="96">
        <v>27200</v>
      </c>
      <c r="K49" s="96">
        <v>0</v>
      </c>
      <c r="L49" s="96"/>
      <c r="M49" s="96"/>
      <c r="N49" s="96"/>
      <c r="O49" s="96">
        <f>+I49</f>
        <v>27200</v>
      </c>
      <c r="P49" s="108"/>
      <c r="Q49" s="108"/>
      <c r="R49" s="98">
        <v>0.1</v>
      </c>
      <c r="S49" s="98">
        <v>0.9</v>
      </c>
    </row>
    <row r="50" spans="1:19" ht="17.25" customHeight="1">
      <c r="A50" s="152"/>
      <c r="B50" s="154"/>
      <c r="C50" s="109"/>
      <c r="D50" s="109"/>
      <c r="E50" s="109"/>
      <c r="F50" s="113" t="s">
        <v>79</v>
      </c>
      <c r="G50" s="109" t="s">
        <v>69</v>
      </c>
      <c r="H50" s="101"/>
      <c r="I50" s="97">
        <f>SUM(I48:I49)</f>
        <v>68000</v>
      </c>
      <c r="J50" s="97">
        <f t="shared" ref="J50:O50" si="17">SUM(J48:J49)</f>
        <v>55000</v>
      </c>
      <c r="K50" s="97">
        <f t="shared" si="17"/>
        <v>13000</v>
      </c>
      <c r="L50" s="97">
        <f t="shared" si="17"/>
        <v>0</v>
      </c>
      <c r="M50" s="97">
        <f t="shared" si="17"/>
        <v>0</v>
      </c>
      <c r="N50" s="97">
        <f t="shared" si="17"/>
        <v>0</v>
      </c>
      <c r="O50" s="97">
        <f t="shared" si="17"/>
        <v>68000</v>
      </c>
      <c r="P50" s="98"/>
      <c r="Q50" s="108"/>
      <c r="R50" s="108"/>
      <c r="S50" s="98"/>
    </row>
    <row r="51" spans="1:19" ht="45">
      <c r="A51" s="152"/>
      <c r="B51" s="154"/>
      <c r="C51" s="105" t="s">
        <v>20</v>
      </c>
      <c r="D51" s="106" t="s">
        <v>37</v>
      </c>
      <c r="E51" s="106" t="s">
        <v>49</v>
      </c>
      <c r="F51" s="107" t="s">
        <v>130</v>
      </c>
      <c r="G51" s="107" t="s">
        <v>50</v>
      </c>
      <c r="H51" s="101"/>
      <c r="I51" s="96">
        <f t="shared" si="14"/>
        <v>17000</v>
      </c>
      <c r="J51" s="96">
        <v>11912</v>
      </c>
      <c r="K51" s="96">
        <v>5088</v>
      </c>
      <c r="L51" s="96"/>
      <c r="M51" s="96"/>
      <c r="N51" s="96"/>
      <c r="O51" s="96">
        <f>+I51</f>
        <v>17000</v>
      </c>
      <c r="P51" s="108"/>
      <c r="Q51" s="108"/>
      <c r="R51" s="98">
        <v>0.1</v>
      </c>
      <c r="S51" s="98">
        <v>0.9</v>
      </c>
    </row>
    <row r="52" spans="1:19" ht="45">
      <c r="A52" s="152"/>
      <c r="B52" s="154"/>
      <c r="C52" s="105" t="s">
        <v>65</v>
      </c>
      <c r="D52" s="106" t="s">
        <v>37</v>
      </c>
      <c r="E52" s="106" t="s">
        <v>49</v>
      </c>
      <c r="F52" s="107" t="s">
        <v>130</v>
      </c>
      <c r="G52" s="107" t="s">
        <v>50</v>
      </c>
      <c r="H52" s="101"/>
      <c r="I52" s="96">
        <f t="shared" si="14"/>
        <v>20500</v>
      </c>
      <c r="J52" s="96">
        <v>16300</v>
      </c>
      <c r="K52" s="96">
        <v>4200</v>
      </c>
      <c r="L52" s="96"/>
      <c r="M52" s="96"/>
      <c r="N52" s="96"/>
      <c r="O52" s="96">
        <f t="shared" ref="O52:O57" si="18">+I52</f>
        <v>20500</v>
      </c>
      <c r="P52" s="108"/>
      <c r="Q52" s="108"/>
      <c r="R52" s="98">
        <v>0.1</v>
      </c>
      <c r="S52" s="98">
        <v>0.9</v>
      </c>
    </row>
    <row r="53" spans="1:19" ht="45">
      <c r="A53" s="152"/>
      <c r="B53" s="154"/>
      <c r="C53" s="105" t="s">
        <v>66</v>
      </c>
      <c r="D53" s="106" t="s">
        <v>37</v>
      </c>
      <c r="E53" s="106" t="s">
        <v>49</v>
      </c>
      <c r="F53" s="107" t="s">
        <v>130</v>
      </c>
      <c r="G53" s="107" t="s">
        <v>50</v>
      </c>
      <c r="H53" s="101"/>
      <c r="I53" s="96">
        <f t="shared" si="14"/>
        <v>34000</v>
      </c>
      <c r="J53" s="96">
        <v>26600</v>
      </c>
      <c r="K53" s="96">
        <v>7400</v>
      </c>
      <c r="L53" s="96"/>
      <c r="M53" s="96"/>
      <c r="N53" s="96"/>
      <c r="O53" s="96">
        <f t="shared" si="18"/>
        <v>34000</v>
      </c>
      <c r="P53" s="108"/>
      <c r="Q53" s="108"/>
      <c r="R53" s="98">
        <v>0.1</v>
      </c>
      <c r="S53" s="98">
        <v>0.9</v>
      </c>
    </row>
    <row r="54" spans="1:19" ht="45">
      <c r="A54" s="152"/>
      <c r="B54" s="154"/>
      <c r="C54" s="105" t="s">
        <v>21</v>
      </c>
      <c r="D54" s="106" t="s">
        <v>37</v>
      </c>
      <c r="E54" s="106" t="s">
        <v>49</v>
      </c>
      <c r="F54" s="107" t="s">
        <v>130</v>
      </c>
      <c r="G54" s="107" t="s">
        <v>50</v>
      </c>
      <c r="H54" s="101"/>
      <c r="I54" s="96">
        <f>+J54+K54</f>
        <v>20400</v>
      </c>
      <c r="J54" s="96">
        <v>14294</v>
      </c>
      <c r="K54" s="96">
        <v>6106</v>
      </c>
      <c r="L54" s="96"/>
      <c r="M54" s="96"/>
      <c r="N54" s="96"/>
      <c r="O54" s="96">
        <f t="shared" si="18"/>
        <v>20400</v>
      </c>
      <c r="P54" s="108"/>
      <c r="Q54" s="108"/>
      <c r="R54" s="98">
        <v>0.1</v>
      </c>
      <c r="S54" s="98">
        <v>0.9</v>
      </c>
    </row>
    <row r="55" spans="1:19" ht="74.25">
      <c r="A55" s="152"/>
      <c r="B55" s="154"/>
      <c r="C55" s="105" t="s">
        <v>67</v>
      </c>
      <c r="D55" s="106" t="s">
        <v>37</v>
      </c>
      <c r="E55" s="106" t="s">
        <v>49</v>
      </c>
      <c r="F55" s="107" t="s">
        <v>130</v>
      </c>
      <c r="G55" s="107" t="s">
        <v>50</v>
      </c>
      <c r="H55" s="101"/>
      <c r="I55" s="96">
        <f t="shared" si="14"/>
        <v>30600</v>
      </c>
      <c r="J55" s="96">
        <v>22600</v>
      </c>
      <c r="K55" s="96">
        <v>8000</v>
      </c>
      <c r="L55" s="96"/>
      <c r="M55" s="96"/>
      <c r="N55" s="96"/>
      <c r="O55" s="96">
        <f t="shared" si="18"/>
        <v>30600</v>
      </c>
      <c r="P55" s="108"/>
      <c r="Q55" s="108"/>
      <c r="R55" s="98">
        <v>0.1</v>
      </c>
      <c r="S55" s="98">
        <v>0.9</v>
      </c>
    </row>
    <row r="56" spans="1:19" ht="107.25">
      <c r="A56" s="152"/>
      <c r="B56" s="154"/>
      <c r="C56" s="105" t="s">
        <v>68</v>
      </c>
      <c r="D56" s="106" t="s">
        <v>37</v>
      </c>
      <c r="E56" s="106" t="s">
        <v>49</v>
      </c>
      <c r="F56" s="107" t="s">
        <v>130</v>
      </c>
      <c r="G56" s="107" t="s">
        <v>50</v>
      </c>
      <c r="H56" s="101"/>
      <c r="I56" s="96">
        <f t="shared" si="14"/>
        <v>20500</v>
      </c>
      <c r="J56" s="96">
        <v>14394</v>
      </c>
      <c r="K56" s="96">
        <v>6106</v>
      </c>
      <c r="L56" s="96"/>
      <c r="M56" s="96"/>
      <c r="N56" s="96"/>
      <c r="O56" s="96">
        <f t="shared" si="18"/>
        <v>20500</v>
      </c>
      <c r="P56" s="108"/>
      <c r="Q56" s="108"/>
      <c r="R56" s="98">
        <v>0.1</v>
      </c>
      <c r="S56" s="98">
        <v>0.9</v>
      </c>
    </row>
    <row r="57" spans="1:19" ht="45">
      <c r="A57" s="152"/>
      <c r="B57" s="154"/>
      <c r="C57" s="105" t="s">
        <v>126</v>
      </c>
      <c r="D57" s="106" t="s">
        <v>37</v>
      </c>
      <c r="E57" s="106" t="s">
        <v>49</v>
      </c>
      <c r="F57" s="107" t="s">
        <v>130</v>
      </c>
      <c r="G57" s="107" t="s">
        <v>50</v>
      </c>
      <c r="H57" s="101"/>
      <c r="I57" s="96">
        <f t="shared" si="14"/>
        <v>13567.82</v>
      </c>
      <c r="J57" s="96">
        <v>13567.82</v>
      </c>
      <c r="K57" s="96">
        <v>0</v>
      </c>
      <c r="L57" s="96"/>
      <c r="M57" s="96"/>
      <c r="N57" s="96"/>
      <c r="O57" s="96">
        <f t="shared" si="18"/>
        <v>13567.82</v>
      </c>
      <c r="P57" s="108"/>
      <c r="Q57" s="108"/>
      <c r="R57" s="98">
        <v>0.1</v>
      </c>
      <c r="S57" s="98">
        <v>0.9</v>
      </c>
    </row>
    <row r="58" spans="1:19" ht="18" customHeight="1">
      <c r="A58" s="152"/>
      <c r="B58" s="154"/>
      <c r="C58" s="109"/>
      <c r="D58" s="109"/>
      <c r="E58" s="109"/>
      <c r="F58" s="113" t="s">
        <v>81</v>
      </c>
      <c r="G58" s="109" t="s">
        <v>70</v>
      </c>
      <c r="H58" s="101"/>
      <c r="I58" s="97">
        <f>SUM(I51:I57)</f>
        <v>156567.82</v>
      </c>
      <c r="J58" s="97">
        <f t="shared" ref="J58:O58" si="19">SUM(J51:J57)</f>
        <v>119667.82</v>
      </c>
      <c r="K58" s="97">
        <f t="shared" si="19"/>
        <v>36900</v>
      </c>
      <c r="L58" s="97">
        <f t="shared" si="19"/>
        <v>0</v>
      </c>
      <c r="M58" s="97">
        <f t="shared" si="19"/>
        <v>0</v>
      </c>
      <c r="N58" s="97">
        <f t="shared" si="19"/>
        <v>0</v>
      </c>
      <c r="O58" s="97">
        <f t="shared" si="19"/>
        <v>156567.82</v>
      </c>
      <c r="P58" s="98"/>
      <c r="Q58" s="108"/>
      <c r="R58" s="108"/>
      <c r="S58" s="98"/>
    </row>
    <row r="59" spans="1:19" ht="45">
      <c r="A59" s="152"/>
      <c r="B59" s="154"/>
      <c r="C59" s="105" t="s">
        <v>22</v>
      </c>
      <c r="D59" s="106" t="s">
        <v>37</v>
      </c>
      <c r="E59" s="106" t="s">
        <v>49</v>
      </c>
      <c r="F59" s="107" t="s">
        <v>130</v>
      </c>
      <c r="G59" s="107" t="s">
        <v>50</v>
      </c>
      <c r="H59" s="101"/>
      <c r="I59" s="96">
        <f t="shared" si="14"/>
        <v>23800</v>
      </c>
      <c r="J59" s="96">
        <v>16400</v>
      </c>
      <c r="K59" s="96">
        <v>7400</v>
      </c>
      <c r="L59" s="96"/>
      <c r="M59" s="96"/>
      <c r="N59" s="96"/>
      <c r="O59" s="96">
        <f>+I59</f>
        <v>23800</v>
      </c>
      <c r="P59" s="108"/>
      <c r="Q59" s="108"/>
      <c r="R59" s="98">
        <v>0.1</v>
      </c>
      <c r="S59" s="98">
        <v>0.9</v>
      </c>
    </row>
    <row r="60" spans="1:19" ht="45">
      <c r="A60" s="152"/>
      <c r="B60" s="154"/>
      <c r="C60" s="105" t="s">
        <v>23</v>
      </c>
      <c r="D60" s="106" t="s">
        <v>37</v>
      </c>
      <c r="E60" s="106" t="s">
        <v>49</v>
      </c>
      <c r="F60" s="107" t="s">
        <v>130</v>
      </c>
      <c r="G60" s="107" t="s">
        <v>50</v>
      </c>
      <c r="H60" s="101"/>
      <c r="I60" s="96">
        <f t="shared" si="14"/>
        <v>13600</v>
      </c>
      <c r="J60" s="96">
        <v>8600</v>
      </c>
      <c r="K60" s="96">
        <v>5000</v>
      </c>
      <c r="L60" s="96"/>
      <c r="M60" s="96"/>
      <c r="N60" s="96"/>
      <c r="O60" s="96">
        <f t="shared" ref="O60:O64" si="20">+I60</f>
        <v>13600</v>
      </c>
      <c r="P60" s="108"/>
      <c r="Q60" s="108"/>
      <c r="R60" s="98">
        <v>0.1</v>
      </c>
      <c r="S60" s="98">
        <v>0.9</v>
      </c>
    </row>
    <row r="61" spans="1:19" ht="63.75" customHeight="1">
      <c r="A61" s="152"/>
      <c r="B61" s="154"/>
      <c r="C61" s="105" t="s">
        <v>24</v>
      </c>
      <c r="D61" s="106" t="s">
        <v>37</v>
      </c>
      <c r="E61" s="106" t="s">
        <v>49</v>
      </c>
      <c r="F61" s="107" t="s">
        <v>130</v>
      </c>
      <c r="G61" s="107" t="s">
        <v>50</v>
      </c>
      <c r="H61" s="101"/>
      <c r="I61" s="96">
        <f t="shared" si="14"/>
        <v>34000</v>
      </c>
      <c r="J61" s="96">
        <v>23824</v>
      </c>
      <c r="K61" s="96">
        <v>10176</v>
      </c>
      <c r="L61" s="96"/>
      <c r="M61" s="96"/>
      <c r="N61" s="96"/>
      <c r="O61" s="96">
        <f t="shared" si="20"/>
        <v>34000</v>
      </c>
      <c r="P61" s="108"/>
      <c r="Q61" s="108"/>
      <c r="R61" s="98">
        <v>0.1</v>
      </c>
      <c r="S61" s="98">
        <v>0.9</v>
      </c>
    </row>
    <row r="62" spans="1:19" ht="49.5">
      <c r="A62" s="152"/>
      <c r="B62" s="154"/>
      <c r="C62" s="105" t="s">
        <v>25</v>
      </c>
      <c r="D62" s="106" t="s">
        <v>37</v>
      </c>
      <c r="E62" s="106" t="s">
        <v>49</v>
      </c>
      <c r="F62" s="107" t="s">
        <v>130</v>
      </c>
      <c r="G62" s="107" t="s">
        <v>50</v>
      </c>
      <c r="H62" s="101"/>
      <c r="I62" s="96">
        <f t="shared" si="14"/>
        <v>34200</v>
      </c>
      <c r="J62" s="96">
        <v>34200</v>
      </c>
      <c r="K62" s="96">
        <v>0</v>
      </c>
      <c r="L62" s="96"/>
      <c r="M62" s="96"/>
      <c r="N62" s="96"/>
      <c r="O62" s="96">
        <f t="shared" si="20"/>
        <v>34200</v>
      </c>
      <c r="P62" s="108"/>
      <c r="Q62" s="108"/>
      <c r="R62" s="98">
        <v>0.1</v>
      </c>
      <c r="S62" s="98">
        <v>0.9</v>
      </c>
    </row>
    <row r="63" spans="1:19" ht="57.75">
      <c r="A63" s="152"/>
      <c r="B63" s="154"/>
      <c r="C63" s="105" t="s">
        <v>26</v>
      </c>
      <c r="D63" s="106" t="s">
        <v>37</v>
      </c>
      <c r="E63" s="106" t="s">
        <v>49</v>
      </c>
      <c r="F63" s="107" t="s">
        <v>130</v>
      </c>
      <c r="G63" s="107" t="s">
        <v>50</v>
      </c>
      <c r="H63" s="101"/>
      <c r="I63" s="96">
        <f t="shared" si="14"/>
        <v>17000</v>
      </c>
      <c r="J63" s="96">
        <v>12000</v>
      </c>
      <c r="K63" s="96">
        <v>5000</v>
      </c>
      <c r="L63" s="96"/>
      <c r="M63" s="96"/>
      <c r="N63" s="96"/>
      <c r="O63" s="96">
        <f t="shared" si="20"/>
        <v>17000</v>
      </c>
      <c r="P63" s="108"/>
      <c r="Q63" s="108"/>
      <c r="R63" s="98">
        <v>0.1</v>
      </c>
      <c r="S63" s="98">
        <v>0.9</v>
      </c>
    </row>
    <row r="64" spans="1:19" ht="45">
      <c r="A64" s="152"/>
      <c r="B64" s="154"/>
      <c r="C64" s="105" t="s">
        <v>48</v>
      </c>
      <c r="D64" s="106" t="s">
        <v>37</v>
      </c>
      <c r="E64" s="106" t="s">
        <v>49</v>
      </c>
      <c r="F64" s="107" t="s">
        <v>130</v>
      </c>
      <c r="G64" s="107" t="s">
        <v>50</v>
      </c>
      <c r="H64" s="101"/>
      <c r="I64" s="96">
        <f t="shared" si="14"/>
        <v>20400</v>
      </c>
      <c r="J64" s="96">
        <v>15400</v>
      </c>
      <c r="K64" s="96">
        <v>5000</v>
      </c>
      <c r="L64" s="96"/>
      <c r="M64" s="96"/>
      <c r="N64" s="96"/>
      <c r="O64" s="96">
        <f t="shared" si="20"/>
        <v>20400</v>
      </c>
      <c r="P64" s="108"/>
      <c r="Q64" s="108"/>
      <c r="R64" s="98">
        <v>0.1</v>
      </c>
      <c r="S64" s="98">
        <v>0.9</v>
      </c>
    </row>
    <row r="65" spans="1:19" ht="19.5" customHeight="1">
      <c r="A65" s="152"/>
      <c r="B65" s="154"/>
      <c r="C65" s="109"/>
      <c r="D65" s="109"/>
      <c r="E65" s="109"/>
      <c r="F65" s="113" t="s">
        <v>83</v>
      </c>
      <c r="G65" s="109" t="s">
        <v>71</v>
      </c>
      <c r="H65" s="101"/>
      <c r="I65" s="97">
        <f>SUM(I59:I64)</f>
        <v>143000</v>
      </c>
      <c r="J65" s="97">
        <f t="shared" ref="J65:O65" si="21">SUM(J59:J64)</f>
        <v>110424</v>
      </c>
      <c r="K65" s="97">
        <f t="shared" si="21"/>
        <v>32576</v>
      </c>
      <c r="L65" s="97">
        <f t="shared" si="21"/>
        <v>0</v>
      </c>
      <c r="M65" s="97">
        <f t="shared" si="21"/>
        <v>0</v>
      </c>
      <c r="N65" s="97">
        <f t="shared" si="21"/>
        <v>0</v>
      </c>
      <c r="O65" s="97">
        <f t="shared" si="21"/>
        <v>143000</v>
      </c>
      <c r="P65" s="98"/>
      <c r="Q65" s="108"/>
      <c r="R65" s="108"/>
      <c r="S65" s="98"/>
    </row>
    <row r="66" spans="1:19" ht="49.5">
      <c r="A66" s="152"/>
      <c r="B66" s="154"/>
      <c r="C66" s="105" t="s">
        <v>27</v>
      </c>
      <c r="D66" s="106" t="s">
        <v>37</v>
      </c>
      <c r="E66" s="106" t="s">
        <v>49</v>
      </c>
      <c r="F66" s="107" t="s">
        <v>130</v>
      </c>
      <c r="G66" s="107" t="s">
        <v>50</v>
      </c>
      <c r="H66" s="101"/>
      <c r="I66" s="96">
        <f t="shared" si="14"/>
        <v>34100</v>
      </c>
      <c r="J66" s="96">
        <v>24100</v>
      </c>
      <c r="K66" s="96">
        <v>10000</v>
      </c>
      <c r="L66" s="96"/>
      <c r="M66" s="96"/>
      <c r="N66" s="96"/>
      <c r="O66" s="96">
        <f>+I66</f>
        <v>34100</v>
      </c>
      <c r="P66" s="108"/>
      <c r="Q66" s="108"/>
      <c r="R66" s="98">
        <v>0.1</v>
      </c>
      <c r="S66" s="98">
        <v>0.9</v>
      </c>
    </row>
    <row r="67" spans="1:19" ht="66">
      <c r="A67" s="152"/>
      <c r="B67" s="154"/>
      <c r="C67" s="105" t="s">
        <v>28</v>
      </c>
      <c r="D67" s="106" t="s">
        <v>37</v>
      </c>
      <c r="E67" s="106" t="s">
        <v>49</v>
      </c>
      <c r="F67" s="107" t="s">
        <v>130</v>
      </c>
      <c r="G67" s="107" t="s">
        <v>50</v>
      </c>
      <c r="H67" s="101"/>
      <c r="I67" s="96">
        <f t="shared" si="14"/>
        <v>17000</v>
      </c>
      <c r="J67" s="96">
        <v>11000</v>
      </c>
      <c r="K67" s="96">
        <v>6000</v>
      </c>
      <c r="L67" s="96"/>
      <c r="M67" s="96"/>
      <c r="N67" s="96"/>
      <c r="O67" s="96">
        <f t="shared" ref="O67:O68" si="22">+I67</f>
        <v>17000</v>
      </c>
      <c r="P67" s="108"/>
      <c r="Q67" s="108"/>
      <c r="R67" s="98">
        <v>0.1</v>
      </c>
      <c r="S67" s="98">
        <v>0.9</v>
      </c>
    </row>
    <row r="68" spans="1:19" ht="57.75">
      <c r="A68" s="152"/>
      <c r="B68" s="154"/>
      <c r="C68" s="105" t="s">
        <v>29</v>
      </c>
      <c r="D68" s="106" t="s">
        <v>37</v>
      </c>
      <c r="E68" s="106" t="s">
        <v>49</v>
      </c>
      <c r="F68" s="107" t="s">
        <v>130</v>
      </c>
      <c r="G68" s="107" t="s">
        <v>50</v>
      </c>
      <c r="H68" s="101"/>
      <c r="I68" s="96">
        <f t="shared" si="14"/>
        <v>17000</v>
      </c>
      <c r="J68" s="96">
        <v>14000</v>
      </c>
      <c r="K68" s="96">
        <v>3000</v>
      </c>
      <c r="L68" s="96"/>
      <c r="M68" s="96"/>
      <c r="N68" s="96"/>
      <c r="O68" s="96">
        <f t="shared" si="22"/>
        <v>17000</v>
      </c>
      <c r="P68" s="108"/>
      <c r="Q68" s="108"/>
      <c r="R68" s="98">
        <v>0.1</v>
      </c>
      <c r="S68" s="98">
        <v>0.9</v>
      </c>
    </row>
    <row r="69" spans="1:19" ht="18" customHeight="1">
      <c r="A69" s="152"/>
      <c r="B69" s="154"/>
      <c r="C69" s="109"/>
      <c r="D69" s="109"/>
      <c r="E69" s="109"/>
      <c r="F69" s="113" t="s">
        <v>84</v>
      </c>
      <c r="G69" s="109" t="s">
        <v>72</v>
      </c>
      <c r="H69" s="101"/>
      <c r="I69" s="97">
        <f>SUM(I66:I68)</f>
        <v>68100</v>
      </c>
      <c r="J69" s="97">
        <f t="shared" ref="J69:O69" si="23">SUM(J66:J68)</f>
        <v>49100</v>
      </c>
      <c r="K69" s="97">
        <f t="shared" si="23"/>
        <v>19000</v>
      </c>
      <c r="L69" s="97">
        <f t="shared" si="23"/>
        <v>0</v>
      </c>
      <c r="M69" s="97">
        <f t="shared" si="23"/>
        <v>0</v>
      </c>
      <c r="N69" s="97">
        <f t="shared" si="23"/>
        <v>0</v>
      </c>
      <c r="O69" s="97">
        <f t="shared" si="23"/>
        <v>68100</v>
      </c>
      <c r="P69" s="98"/>
      <c r="Q69" s="108"/>
      <c r="R69" s="108"/>
      <c r="S69" s="98"/>
    </row>
    <row r="70" spans="1:19" ht="45">
      <c r="A70" s="152"/>
      <c r="B70" s="154"/>
      <c r="C70" s="105" t="s">
        <v>30</v>
      </c>
      <c r="D70" s="106" t="s">
        <v>37</v>
      </c>
      <c r="E70" s="106" t="s">
        <v>49</v>
      </c>
      <c r="F70" s="107" t="s">
        <v>130</v>
      </c>
      <c r="G70" s="107" t="s">
        <v>50</v>
      </c>
      <c r="H70" s="101"/>
      <c r="I70" s="96">
        <f t="shared" si="14"/>
        <v>20400</v>
      </c>
      <c r="J70" s="96">
        <v>20400</v>
      </c>
      <c r="K70" s="96">
        <v>0</v>
      </c>
      <c r="L70" s="96"/>
      <c r="M70" s="96"/>
      <c r="N70" s="96"/>
      <c r="O70" s="96">
        <f>+I70</f>
        <v>20400</v>
      </c>
      <c r="P70" s="108"/>
      <c r="Q70" s="108"/>
      <c r="R70" s="98">
        <v>0.1</v>
      </c>
      <c r="S70" s="98">
        <v>0.9</v>
      </c>
    </row>
    <row r="71" spans="1:19" ht="57.75">
      <c r="A71" s="152"/>
      <c r="B71" s="154"/>
      <c r="C71" s="105" t="s">
        <v>31</v>
      </c>
      <c r="D71" s="106" t="s">
        <v>37</v>
      </c>
      <c r="E71" s="106" t="s">
        <v>49</v>
      </c>
      <c r="F71" s="107" t="s">
        <v>130</v>
      </c>
      <c r="G71" s="107" t="s">
        <v>50</v>
      </c>
      <c r="H71" s="101"/>
      <c r="I71" s="96">
        <f t="shared" si="14"/>
        <v>37400</v>
      </c>
      <c r="J71" s="96">
        <v>28400</v>
      </c>
      <c r="K71" s="96">
        <v>9000</v>
      </c>
      <c r="L71" s="96"/>
      <c r="M71" s="96"/>
      <c r="N71" s="96"/>
      <c r="O71" s="96">
        <f t="shared" ref="O71:O73" si="24">+I71</f>
        <v>37400</v>
      </c>
      <c r="P71" s="108"/>
      <c r="Q71" s="108"/>
      <c r="R71" s="98">
        <v>0.1</v>
      </c>
      <c r="S71" s="98">
        <v>0.9</v>
      </c>
    </row>
    <row r="72" spans="1:19" ht="82.5">
      <c r="A72" s="152"/>
      <c r="B72" s="154"/>
      <c r="C72" s="105" t="s">
        <v>34</v>
      </c>
      <c r="D72" s="106" t="s">
        <v>37</v>
      </c>
      <c r="E72" s="106" t="s">
        <v>49</v>
      </c>
      <c r="F72" s="107" t="s">
        <v>130</v>
      </c>
      <c r="G72" s="107" t="s">
        <v>50</v>
      </c>
      <c r="H72" s="101"/>
      <c r="I72" s="96">
        <f t="shared" si="14"/>
        <v>44100</v>
      </c>
      <c r="J72" s="96">
        <v>35100</v>
      </c>
      <c r="K72" s="96">
        <v>9000</v>
      </c>
      <c r="L72" s="96"/>
      <c r="M72" s="96"/>
      <c r="N72" s="96"/>
      <c r="O72" s="96">
        <f t="shared" si="24"/>
        <v>44100</v>
      </c>
      <c r="P72" s="108"/>
      <c r="Q72" s="108"/>
      <c r="R72" s="98">
        <v>0.1</v>
      </c>
      <c r="S72" s="98">
        <v>0.9</v>
      </c>
    </row>
    <row r="73" spans="1:19" ht="45">
      <c r="A73" s="152"/>
      <c r="B73" s="154"/>
      <c r="C73" s="114" t="s">
        <v>73</v>
      </c>
      <c r="D73" s="106" t="s">
        <v>37</v>
      </c>
      <c r="E73" s="106" t="s">
        <v>49</v>
      </c>
      <c r="F73" s="107" t="s">
        <v>130</v>
      </c>
      <c r="G73" s="107" t="s">
        <v>50</v>
      </c>
      <c r="H73" s="101"/>
      <c r="I73" s="96">
        <f t="shared" si="14"/>
        <v>34000</v>
      </c>
      <c r="J73" s="96">
        <v>25000</v>
      </c>
      <c r="K73" s="96">
        <v>9000</v>
      </c>
      <c r="L73" s="96"/>
      <c r="M73" s="96"/>
      <c r="N73" s="96"/>
      <c r="O73" s="96">
        <f t="shared" si="24"/>
        <v>34000</v>
      </c>
      <c r="P73" s="108"/>
      <c r="Q73" s="108"/>
      <c r="R73" s="98">
        <v>0.1</v>
      </c>
      <c r="S73" s="98">
        <v>0.9</v>
      </c>
    </row>
    <row r="74" spans="1:19" ht="16.5" customHeight="1">
      <c r="A74" s="152"/>
      <c r="B74" s="155"/>
      <c r="C74" s="115"/>
      <c r="D74" s="116"/>
      <c r="E74" s="117"/>
      <c r="F74" s="118" t="s">
        <v>85</v>
      </c>
      <c r="G74" s="109" t="s">
        <v>74</v>
      </c>
      <c r="H74" s="119"/>
      <c r="I74" s="97">
        <f>SUM(I70:I73)</f>
        <v>135900</v>
      </c>
      <c r="J74" s="97">
        <f t="shared" ref="J74:O74" si="25">SUM(J70:J73)</f>
        <v>108900</v>
      </c>
      <c r="K74" s="97">
        <f t="shared" si="25"/>
        <v>27000</v>
      </c>
      <c r="L74" s="97">
        <f t="shared" si="25"/>
        <v>0</v>
      </c>
      <c r="M74" s="97">
        <f t="shared" si="25"/>
        <v>0</v>
      </c>
      <c r="N74" s="97">
        <f t="shared" si="25"/>
        <v>0</v>
      </c>
      <c r="O74" s="97">
        <f t="shared" si="25"/>
        <v>135900</v>
      </c>
      <c r="P74" s="98"/>
      <c r="Q74" s="108"/>
      <c r="R74" s="108"/>
      <c r="S74" s="98"/>
    </row>
    <row r="75" spans="1:19" ht="24.75" customHeight="1">
      <c r="A75" s="152"/>
      <c r="B75" s="156" t="s">
        <v>129</v>
      </c>
      <c r="C75" s="157"/>
      <c r="D75" s="157"/>
      <c r="E75" s="157"/>
      <c r="F75" s="157"/>
      <c r="G75" s="158"/>
      <c r="H75" s="72"/>
      <c r="I75" s="72">
        <f>+I47+I50+I58+I65+I69+I74</f>
        <v>775447.82000000007</v>
      </c>
      <c r="J75" s="72">
        <f t="shared" ref="J75:O75" si="26">+J47+J50+J58+J65+J69+J74</f>
        <v>643971.82000000007</v>
      </c>
      <c r="K75" s="72">
        <f t="shared" si="26"/>
        <v>131476</v>
      </c>
      <c r="L75" s="72">
        <f t="shared" si="26"/>
        <v>0</v>
      </c>
      <c r="M75" s="72">
        <f t="shared" si="26"/>
        <v>0</v>
      </c>
      <c r="N75" s="72">
        <f t="shared" si="26"/>
        <v>0</v>
      </c>
      <c r="O75" s="72">
        <f t="shared" si="26"/>
        <v>775447.82000000007</v>
      </c>
      <c r="P75" s="72"/>
      <c r="Q75" s="72"/>
      <c r="R75" s="72"/>
      <c r="S75" s="72"/>
    </row>
    <row r="76" spans="1:19" ht="45">
      <c r="A76" s="152"/>
      <c r="B76" s="120" t="s">
        <v>51</v>
      </c>
      <c r="C76" s="121" t="s">
        <v>52</v>
      </c>
      <c r="D76" s="106" t="s">
        <v>132</v>
      </c>
      <c r="E76" s="122" t="s">
        <v>49</v>
      </c>
      <c r="F76" s="107" t="s">
        <v>130</v>
      </c>
      <c r="G76" s="107" t="s">
        <v>50</v>
      </c>
      <c r="H76" s="101"/>
      <c r="I76" s="96">
        <f t="shared" si="14"/>
        <v>100000</v>
      </c>
      <c r="J76" s="96">
        <v>100000</v>
      </c>
      <c r="K76" s="96"/>
      <c r="L76" s="96">
        <v>20000</v>
      </c>
      <c r="M76" s="96">
        <v>30000</v>
      </c>
      <c r="N76" s="96">
        <v>30000</v>
      </c>
      <c r="O76" s="96">
        <v>80000</v>
      </c>
      <c r="P76" s="98">
        <f>+L76/$I$76</f>
        <v>0.2</v>
      </c>
      <c r="Q76" s="98">
        <f>+M76/$I$76</f>
        <v>0.3</v>
      </c>
      <c r="R76" s="98">
        <f>+N76/$I$76</f>
        <v>0.3</v>
      </c>
      <c r="S76" s="98">
        <v>0.49</v>
      </c>
    </row>
    <row r="77" spans="1:19" ht="24.75" customHeight="1">
      <c r="A77" s="152"/>
      <c r="B77" s="156" t="s">
        <v>131</v>
      </c>
      <c r="C77" s="157"/>
      <c r="D77" s="157"/>
      <c r="E77" s="157"/>
      <c r="F77" s="157"/>
      <c r="G77" s="158"/>
      <c r="H77" s="72"/>
      <c r="I77" s="73">
        <f>SUM(I76)</f>
        <v>100000</v>
      </c>
      <c r="J77" s="73">
        <f t="shared" ref="J77:O77" si="27">SUM(J76)</f>
        <v>100000</v>
      </c>
      <c r="K77" s="73">
        <f t="shared" si="27"/>
        <v>0</v>
      </c>
      <c r="L77" s="73">
        <f t="shared" si="27"/>
        <v>20000</v>
      </c>
      <c r="M77" s="73">
        <f t="shared" si="27"/>
        <v>30000</v>
      </c>
      <c r="N77" s="73">
        <f t="shared" si="27"/>
        <v>30000</v>
      </c>
      <c r="O77" s="73">
        <f t="shared" si="27"/>
        <v>80000</v>
      </c>
      <c r="P77" s="83"/>
      <c r="Q77" s="83"/>
      <c r="R77" s="83"/>
      <c r="S77" s="83"/>
    </row>
    <row r="78" spans="1:19" ht="45">
      <c r="A78" s="152"/>
      <c r="B78" s="159" t="s">
        <v>53</v>
      </c>
      <c r="C78" s="121" t="s">
        <v>54</v>
      </c>
      <c r="D78" s="123" t="s">
        <v>133</v>
      </c>
      <c r="E78" s="122" t="s">
        <v>32</v>
      </c>
      <c r="F78" s="99" t="s">
        <v>134</v>
      </c>
      <c r="G78" s="99" t="s">
        <v>76</v>
      </c>
      <c r="H78" s="124"/>
      <c r="I78" s="96">
        <f t="shared" si="14"/>
        <v>149000</v>
      </c>
      <c r="J78" s="96">
        <v>149000</v>
      </c>
      <c r="K78" s="125"/>
      <c r="L78" s="96"/>
      <c r="M78" s="96"/>
      <c r="N78" s="96"/>
      <c r="O78" s="96"/>
      <c r="P78" s="98"/>
      <c r="Q78" s="98"/>
      <c r="R78" s="98"/>
      <c r="S78" s="98"/>
    </row>
    <row r="79" spans="1:19" ht="45">
      <c r="A79" s="152"/>
      <c r="B79" s="160"/>
      <c r="C79" s="121" t="s">
        <v>135</v>
      </c>
      <c r="D79" s="123" t="s">
        <v>133</v>
      </c>
      <c r="E79" s="122" t="s">
        <v>32</v>
      </c>
      <c r="F79" s="99" t="s">
        <v>147</v>
      </c>
      <c r="G79" s="99" t="s">
        <v>76</v>
      </c>
      <c r="H79" s="126"/>
      <c r="I79" s="96">
        <f t="shared" si="14"/>
        <v>75000</v>
      </c>
      <c r="J79" s="127">
        <v>75000</v>
      </c>
      <c r="K79" s="128"/>
      <c r="L79" s="127"/>
      <c r="M79" s="127"/>
      <c r="N79" s="127"/>
      <c r="O79" s="127"/>
      <c r="P79" s="98"/>
      <c r="Q79" s="98"/>
      <c r="R79" s="98"/>
      <c r="S79" s="98"/>
    </row>
    <row r="80" spans="1:19" ht="45">
      <c r="A80" s="152"/>
      <c r="B80" s="160"/>
      <c r="C80" s="121" t="s">
        <v>136</v>
      </c>
      <c r="D80" s="123" t="s">
        <v>133</v>
      </c>
      <c r="E80" s="122" t="s">
        <v>32</v>
      </c>
      <c r="F80" s="99" t="s">
        <v>148</v>
      </c>
      <c r="G80" s="99" t="s">
        <v>76</v>
      </c>
      <c r="H80" s="126"/>
      <c r="I80" s="96">
        <f t="shared" si="14"/>
        <v>56126.8</v>
      </c>
      <c r="J80" s="127">
        <v>56126.8</v>
      </c>
      <c r="K80" s="128"/>
      <c r="L80" s="127"/>
      <c r="M80" s="127"/>
      <c r="N80" s="127"/>
      <c r="O80" s="127"/>
      <c r="P80" s="129"/>
      <c r="Q80" s="98"/>
      <c r="R80" s="98"/>
      <c r="S80" s="98"/>
    </row>
    <row r="81" spans="1:19" ht="45">
      <c r="A81" s="152"/>
      <c r="B81" s="161"/>
      <c r="C81" s="121" t="s">
        <v>137</v>
      </c>
      <c r="D81" s="123" t="s">
        <v>133</v>
      </c>
      <c r="E81" s="122" t="s">
        <v>32</v>
      </c>
      <c r="F81" s="99" t="s">
        <v>149</v>
      </c>
      <c r="G81" s="99" t="s">
        <v>76</v>
      </c>
      <c r="H81" s="126"/>
      <c r="I81" s="127">
        <f t="shared" si="14"/>
        <v>100000</v>
      </c>
      <c r="J81" s="127">
        <v>100000</v>
      </c>
      <c r="K81" s="128"/>
      <c r="L81" s="127"/>
      <c r="M81" s="127"/>
      <c r="N81" s="127"/>
      <c r="O81" s="127"/>
      <c r="P81" s="129"/>
      <c r="Q81" s="98"/>
      <c r="R81" s="98"/>
      <c r="S81" s="98"/>
    </row>
    <row r="82" spans="1:19" ht="25.5" customHeight="1">
      <c r="A82" s="152"/>
      <c r="B82" s="156" t="s">
        <v>138</v>
      </c>
      <c r="C82" s="157"/>
      <c r="D82" s="157"/>
      <c r="E82" s="157"/>
      <c r="F82" s="157"/>
      <c r="G82" s="158"/>
      <c r="H82" s="84"/>
      <c r="I82" s="85">
        <f>SUM(I78:I81)</f>
        <v>380126.8</v>
      </c>
      <c r="J82" s="85">
        <f>SUM(J78:J81)</f>
        <v>380126.8</v>
      </c>
      <c r="K82" s="85">
        <f t="shared" ref="K82:O82" si="28">SUM(K78:K80)</f>
        <v>0</v>
      </c>
      <c r="L82" s="85">
        <f t="shared" si="28"/>
        <v>0</v>
      </c>
      <c r="M82" s="85">
        <f t="shared" si="28"/>
        <v>0</v>
      </c>
      <c r="N82" s="85">
        <f t="shared" si="28"/>
        <v>0</v>
      </c>
      <c r="O82" s="85">
        <f t="shared" si="28"/>
        <v>0</v>
      </c>
      <c r="P82" s="86"/>
      <c r="Q82" s="83"/>
      <c r="R82" s="83"/>
      <c r="S82" s="83"/>
    </row>
    <row r="83" spans="1:19" ht="48" customHeight="1">
      <c r="A83" s="152"/>
      <c r="B83" s="120" t="s">
        <v>55</v>
      </c>
      <c r="C83" s="130" t="s">
        <v>56</v>
      </c>
      <c r="D83" s="92" t="s">
        <v>37</v>
      </c>
      <c r="E83" s="92" t="s">
        <v>57</v>
      </c>
      <c r="F83" s="99" t="s">
        <v>77</v>
      </c>
      <c r="G83" s="99" t="s">
        <v>78</v>
      </c>
      <c r="H83" s="101"/>
      <c r="I83" s="96">
        <f t="shared" si="14"/>
        <v>80000</v>
      </c>
      <c r="J83" s="96">
        <v>80000</v>
      </c>
      <c r="K83" s="97"/>
      <c r="L83" s="96"/>
      <c r="M83" s="96">
        <v>15000</v>
      </c>
      <c r="N83" s="96">
        <v>30000</v>
      </c>
      <c r="O83" s="96">
        <f>+J83-L83-M83-N83</f>
        <v>35000</v>
      </c>
      <c r="P83" s="98">
        <f>+L83/$I$83</f>
        <v>0</v>
      </c>
      <c r="Q83" s="98">
        <f>+M83/$I$83</f>
        <v>0.1875</v>
      </c>
      <c r="R83" s="98">
        <f>+N83/$I$83</f>
        <v>0.375</v>
      </c>
      <c r="S83" s="98">
        <v>0.43</v>
      </c>
    </row>
    <row r="84" spans="1:19" ht="25.5" customHeight="1">
      <c r="A84" s="152"/>
      <c r="B84" s="156" t="s">
        <v>139</v>
      </c>
      <c r="C84" s="157"/>
      <c r="D84" s="157"/>
      <c r="E84" s="157"/>
      <c r="F84" s="157"/>
      <c r="G84" s="158"/>
      <c r="H84" s="72"/>
      <c r="I84" s="73">
        <f>SUM(I83)</f>
        <v>80000</v>
      </c>
      <c r="J84" s="73">
        <f t="shared" ref="J84:O84" si="29">SUM(J83)</f>
        <v>80000</v>
      </c>
      <c r="K84" s="73">
        <f t="shared" si="29"/>
        <v>0</v>
      </c>
      <c r="L84" s="73">
        <f t="shared" si="29"/>
        <v>0</v>
      </c>
      <c r="M84" s="73">
        <f t="shared" si="29"/>
        <v>15000</v>
      </c>
      <c r="N84" s="73">
        <f t="shared" si="29"/>
        <v>30000</v>
      </c>
      <c r="O84" s="73">
        <f t="shared" si="29"/>
        <v>35000</v>
      </c>
      <c r="P84" s="83"/>
      <c r="Q84" s="83"/>
      <c r="R84" s="83"/>
      <c r="S84" s="83"/>
    </row>
    <row r="85" spans="1:19" ht="24" customHeight="1">
      <c r="A85" s="142" t="s">
        <v>140</v>
      </c>
      <c r="B85" s="143"/>
      <c r="C85" s="143"/>
      <c r="D85" s="143"/>
      <c r="E85" s="143"/>
      <c r="F85" s="143"/>
      <c r="G85" s="144"/>
      <c r="H85" s="74"/>
      <c r="I85" s="75">
        <f>+I75+I77+I82+I84</f>
        <v>1335574.6200000001</v>
      </c>
      <c r="J85" s="75">
        <f t="shared" ref="J85:O85" si="30">+J77+J82+J84</f>
        <v>560126.80000000005</v>
      </c>
      <c r="K85" s="75">
        <f t="shared" si="30"/>
        <v>0</v>
      </c>
      <c r="L85" s="75">
        <f t="shared" si="30"/>
        <v>20000</v>
      </c>
      <c r="M85" s="75">
        <f t="shared" si="30"/>
        <v>45000</v>
      </c>
      <c r="N85" s="75">
        <f t="shared" si="30"/>
        <v>60000</v>
      </c>
      <c r="O85" s="75">
        <f t="shared" si="30"/>
        <v>115000</v>
      </c>
      <c r="P85" s="74"/>
      <c r="Q85" s="74"/>
      <c r="R85" s="74"/>
      <c r="S85" s="74"/>
    </row>
    <row r="86" spans="1:19" ht="169.5" customHeight="1">
      <c r="A86" s="87" t="s">
        <v>58</v>
      </c>
      <c r="B86" s="131" t="s">
        <v>59</v>
      </c>
      <c r="C86" s="132" t="s">
        <v>141</v>
      </c>
      <c r="D86" s="133" t="s">
        <v>133</v>
      </c>
      <c r="E86" s="107" t="s">
        <v>33</v>
      </c>
      <c r="F86" s="134" t="s">
        <v>142</v>
      </c>
      <c r="G86" s="135" t="s">
        <v>60</v>
      </c>
      <c r="H86" s="101"/>
      <c r="I86" s="96">
        <f t="shared" si="14"/>
        <v>54000</v>
      </c>
      <c r="J86" s="96">
        <v>54000</v>
      </c>
      <c r="K86" s="97"/>
      <c r="L86" s="96"/>
      <c r="M86" s="96"/>
      <c r="N86" s="96"/>
      <c r="O86" s="96">
        <f>+J86</f>
        <v>54000</v>
      </c>
      <c r="P86" s="98"/>
      <c r="Q86" s="98"/>
      <c r="R86" s="98">
        <v>0.1</v>
      </c>
      <c r="S86" s="98">
        <v>0.9</v>
      </c>
    </row>
    <row r="87" spans="1:19" ht="26.25" customHeight="1">
      <c r="A87" s="142" t="s">
        <v>140</v>
      </c>
      <c r="B87" s="143"/>
      <c r="C87" s="143"/>
      <c r="D87" s="143"/>
      <c r="E87" s="143"/>
      <c r="F87" s="143"/>
      <c r="G87" s="144"/>
      <c r="H87" s="88"/>
      <c r="I87" s="89">
        <f>+I86</f>
        <v>54000</v>
      </c>
      <c r="J87" s="89">
        <f t="shared" ref="J87:S87" si="31">+J86</f>
        <v>54000</v>
      </c>
      <c r="K87" s="89">
        <f t="shared" si="31"/>
        <v>0</v>
      </c>
      <c r="L87" s="89">
        <f t="shared" si="31"/>
        <v>0</v>
      </c>
      <c r="M87" s="89">
        <f t="shared" si="31"/>
        <v>0</v>
      </c>
      <c r="N87" s="89">
        <f t="shared" si="31"/>
        <v>0</v>
      </c>
      <c r="O87" s="89">
        <f t="shared" si="31"/>
        <v>54000</v>
      </c>
      <c r="P87" s="89">
        <f t="shared" si="31"/>
        <v>0</v>
      </c>
      <c r="Q87" s="89">
        <f t="shared" si="31"/>
        <v>0</v>
      </c>
      <c r="R87" s="89">
        <f t="shared" si="31"/>
        <v>0.1</v>
      </c>
      <c r="S87" s="89">
        <f t="shared" si="31"/>
        <v>0.9</v>
      </c>
    </row>
    <row r="88" spans="1:19" ht="37.5" customHeight="1">
      <c r="A88" s="81" t="s">
        <v>119</v>
      </c>
      <c r="B88" s="130" t="s">
        <v>119</v>
      </c>
      <c r="C88" s="130"/>
      <c r="D88" s="130"/>
      <c r="E88" s="130"/>
      <c r="F88" s="103"/>
      <c r="G88" s="109"/>
      <c r="H88" s="101"/>
      <c r="I88" s="96">
        <f>+J88+K88</f>
        <v>427051.92</v>
      </c>
      <c r="J88" s="96">
        <v>427051.92</v>
      </c>
      <c r="K88" s="96"/>
      <c r="L88" s="96">
        <v>84000</v>
      </c>
      <c r="M88" s="96">
        <v>108000</v>
      </c>
      <c r="N88" s="96">
        <v>100000</v>
      </c>
      <c r="O88" s="96">
        <f>+I88-L88-M88-N88</f>
        <v>135051.91999999998</v>
      </c>
      <c r="P88" s="98">
        <f>+L88/$I$88</f>
        <v>0.19669739454631185</v>
      </c>
      <c r="Q88" s="98">
        <f>+M88/$I$88</f>
        <v>0.2528966501309724</v>
      </c>
      <c r="R88" s="98">
        <f>+N88/$I$88</f>
        <v>0.23416356493608553</v>
      </c>
      <c r="S88" s="98">
        <f>+O88/$I$88</f>
        <v>0.31624239038663027</v>
      </c>
    </row>
    <row r="89" spans="1:19" ht="18.75">
      <c r="A89" s="142" t="s">
        <v>146</v>
      </c>
      <c r="B89" s="143"/>
      <c r="C89" s="143"/>
      <c r="D89" s="143"/>
      <c r="E89" s="143"/>
      <c r="F89" s="143"/>
      <c r="G89" s="144"/>
      <c r="H89" s="88"/>
      <c r="I89" s="89">
        <f t="shared" ref="I89:O89" si="32">SUM(I88)</f>
        <v>427051.92</v>
      </c>
      <c r="J89" s="89">
        <f t="shared" si="32"/>
        <v>427051.92</v>
      </c>
      <c r="K89" s="89">
        <f t="shared" si="32"/>
        <v>0</v>
      </c>
      <c r="L89" s="89">
        <f t="shared" si="32"/>
        <v>84000</v>
      </c>
      <c r="M89" s="89">
        <f t="shared" si="32"/>
        <v>108000</v>
      </c>
      <c r="N89" s="89">
        <f t="shared" si="32"/>
        <v>100000</v>
      </c>
      <c r="O89" s="89">
        <f t="shared" si="32"/>
        <v>135051.91999999998</v>
      </c>
      <c r="P89" s="89"/>
      <c r="Q89" s="89"/>
      <c r="R89" s="89"/>
      <c r="S89" s="89"/>
    </row>
    <row r="90" spans="1:19" ht="11.25" customHeight="1">
      <c r="A90" s="145" t="s">
        <v>143</v>
      </c>
      <c r="B90" s="130"/>
      <c r="C90" s="136"/>
      <c r="D90" s="137"/>
      <c r="E90" s="136"/>
      <c r="F90" s="136"/>
      <c r="G90" s="136"/>
      <c r="H90" s="138"/>
      <c r="I90" s="96"/>
      <c r="J90" s="96"/>
      <c r="K90" s="96"/>
      <c r="L90" s="96"/>
      <c r="M90" s="96"/>
      <c r="N90" s="96"/>
      <c r="O90" s="96"/>
      <c r="P90" s="98"/>
      <c r="Q90" s="98"/>
      <c r="R90" s="98"/>
      <c r="S90" s="98"/>
    </row>
    <row r="91" spans="1:19">
      <c r="A91" s="146"/>
      <c r="B91" s="136"/>
      <c r="C91" s="136"/>
      <c r="D91" s="137"/>
      <c r="E91" s="136"/>
      <c r="F91" s="103"/>
      <c r="G91" s="109"/>
      <c r="H91" s="138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</row>
    <row r="92" spans="1:19" ht="15" customHeight="1">
      <c r="A92" s="147"/>
      <c r="B92" s="130"/>
      <c r="C92" s="136"/>
      <c r="D92" s="137"/>
      <c r="E92" s="136"/>
      <c r="F92" s="103"/>
      <c r="G92" s="109"/>
      <c r="H92" s="138"/>
      <c r="I92" s="97"/>
      <c r="J92" s="97"/>
      <c r="K92" s="97"/>
      <c r="L92" s="97"/>
      <c r="M92" s="97"/>
      <c r="N92" s="97"/>
      <c r="O92" s="97"/>
      <c r="P92" s="98"/>
      <c r="Q92" s="98"/>
      <c r="R92" s="98"/>
      <c r="S92" s="98"/>
    </row>
    <row r="93" spans="1:19" ht="18.75">
      <c r="A93" s="142" t="s">
        <v>144</v>
      </c>
      <c r="B93" s="143"/>
      <c r="C93" s="143"/>
      <c r="D93" s="143"/>
      <c r="E93" s="143"/>
      <c r="F93" s="143"/>
      <c r="G93" s="144"/>
      <c r="H93" s="88"/>
      <c r="I93" s="89" t="e">
        <f>+I92+I91+#REF!+#REF!</f>
        <v>#REF!</v>
      </c>
      <c r="J93" s="89" t="e">
        <f>+J92+J91+#REF!+#REF!</f>
        <v>#REF!</v>
      </c>
      <c r="K93" s="89" t="e">
        <f>+K92+K91+#REF!+#REF!</f>
        <v>#REF!</v>
      </c>
      <c r="L93" s="89" t="e">
        <f>+L92+L91+#REF!+#REF!</f>
        <v>#REF!</v>
      </c>
      <c r="M93" s="89" t="e">
        <f>+M92+M91+#REF!+#REF!</f>
        <v>#REF!</v>
      </c>
      <c r="N93" s="89" t="e">
        <f>+N92+N91+#REF!+#REF!</f>
        <v>#REF!</v>
      </c>
      <c r="O93" s="89" t="e">
        <f>+O92+O91+#REF!+#REF!</f>
        <v>#REF!</v>
      </c>
      <c r="P93" s="89"/>
      <c r="Q93" s="89"/>
      <c r="R93" s="89"/>
      <c r="S93" s="89"/>
    </row>
    <row r="94" spans="1:19" ht="29.25" customHeight="1">
      <c r="A94" s="148" t="s">
        <v>145</v>
      </c>
      <c r="B94" s="149"/>
      <c r="C94" s="149"/>
      <c r="D94" s="149"/>
      <c r="E94" s="149"/>
      <c r="F94" s="149"/>
      <c r="G94" s="150"/>
      <c r="H94" s="15"/>
      <c r="I94" s="2" t="e">
        <f>I6+I36+I85+I87+I89+#REF!+I93+#REF!</f>
        <v>#REF!</v>
      </c>
      <c r="J94" s="2" t="e">
        <f>J6+J36+J85+J87+J89+#REF!+J93+#REF!</f>
        <v>#REF!</v>
      </c>
      <c r="K94" s="2" t="e">
        <f>K6+K36+K85+K87+K89+#REF!+K93+#REF!</f>
        <v>#REF!</v>
      </c>
      <c r="L94" s="2" t="e">
        <f>L6+L36+L85+L87+L89+#REF!+L93+#REF!</f>
        <v>#REF!</v>
      </c>
      <c r="M94" s="2" t="e">
        <f>M6+M36+M85+M87+M89+#REF!+M93+#REF!</f>
        <v>#REF!</v>
      </c>
      <c r="N94" s="2" t="e">
        <f>N6+N36+N85+N87+N89+#REF!+N93+#REF!</f>
        <v>#REF!</v>
      </c>
      <c r="O94" s="2" t="e">
        <f>O6+O36+O85+O87+O89+#REF!+O93+#REF!</f>
        <v>#REF!</v>
      </c>
      <c r="P94" s="3"/>
      <c r="Q94" s="3"/>
      <c r="R94" s="3"/>
      <c r="S94" s="3"/>
    </row>
    <row r="95" spans="1:19">
      <c r="H95" s="16"/>
      <c r="I95" s="17"/>
      <c r="J95" s="11"/>
      <c r="K95" s="76" t="e">
        <f>+K94+J94</f>
        <v>#REF!</v>
      </c>
      <c r="L95" s="77"/>
      <c r="M95" s="77"/>
      <c r="N95" s="77"/>
      <c r="O95" s="78" t="e">
        <f>+L94+M94+N94+O94</f>
        <v>#REF!</v>
      </c>
    </row>
    <row r="96" spans="1:19">
      <c r="H96" s="16"/>
      <c r="I96" s="14"/>
      <c r="J96" s="11"/>
      <c r="K96" s="77"/>
      <c r="L96" s="78"/>
      <c r="M96" s="78"/>
      <c r="N96" s="77"/>
      <c r="O96" s="79"/>
    </row>
    <row r="97" spans="1:22">
      <c r="H97" s="16"/>
      <c r="I97" s="11"/>
      <c r="J97" s="9"/>
      <c r="K97" s="80"/>
      <c r="L97" s="77"/>
      <c r="M97" s="77"/>
      <c r="N97" s="77"/>
      <c r="O97" s="77"/>
    </row>
    <row r="98" spans="1:22">
      <c r="A98" s="4"/>
      <c r="H98" s="16"/>
      <c r="I98" s="11"/>
      <c r="J98" s="9"/>
      <c r="K98" s="9"/>
    </row>
    <row r="99" spans="1:22">
      <c r="H99" s="16"/>
      <c r="J99" s="9"/>
      <c r="K99" s="10"/>
    </row>
    <row r="100" spans="1:22" s="8" customFormat="1">
      <c r="A100" s="1"/>
      <c r="B100" s="5"/>
      <c r="C100" s="5"/>
      <c r="D100" s="12"/>
      <c r="E100" s="1"/>
      <c r="F100" s="1"/>
      <c r="G100" s="1"/>
      <c r="H100" s="16"/>
      <c r="K100" s="10"/>
      <c r="T100" s="1"/>
      <c r="U100" s="1"/>
      <c r="V100" s="1"/>
    </row>
    <row r="101" spans="1:22" s="8" customFormat="1" ht="12">
      <c r="A101" s="1"/>
      <c r="B101" s="5"/>
      <c r="C101" s="5"/>
      <c r="D101" s="18" t="s">
        <v>61</v>
      </c>
      <c r="E101" s="1"/>
      <c r="F101" s="1"/>
      <c r="G101" s="1"/>
      <c r="H101" s="16"/>
      <c r="I101" s="10"/>
      <c r="T101" s="1"/>
      <c r="U101" s="1"/>
      <c r="V101" s="1"/>
    </row>
    <row r="102" spans="1:22" s="8" customFormat="1" ht="12.75">
      <c r="A102" s="1"/>
      <c r="B102" s="5"/>
      <c r="C102" s="5"/>
      <c r="D102" s="13" t="s">
        <v>62</v>
      </c>
      <c r="E102" s="1"/>
      <c r="F102" s="1"/>
      <c r="G102" s="1"/>
      <c r="H102" s="7"/>
      <c r="T102" s="1"/>
      <c r="U102" s="1"/>
      <c r="V102" s="1"/>
    </row>
  </sheetData>
  <mergeCells count="31">
    <mergeCell ref="A1:S1"/>
    <mergeCell ref="A2:S2"/>
    <mergeCell ref="A3:A4"/>
    <mergeCell ref="B3:B4"/>
    <mergeCell ref="C3:C4"/>
    <mergeCell ref="D3:D4"/>
    <mergeCell ref="E3:E4"/>
    <mergeCell ref="F3:F4"/>
    <mergeCell ref="G3:G4"/>
    <mergeCell ref="H3:I3"/>
    <mergeCell ref="L3:O3"/>
    <mergeCell ref="A6:G6"/>
    <mergeCell ref="A7:A35"/>
    <mergeCell ref="B7:B26"/>
    <mergeCell ref="B27:G27"/>
    <mergeCell ref="B28:B34"/>
    <mergeCell ref="B35:G35"/>
    <mergeCell ref="A94:G94"/>
    <mergeCell ref="A36:G36"/>
    <mergeCell ref="A37:A84"/>
    <mergeCell ref="B37:B74"/>
    <mergeCell ref="B75:G75"/>
    <mergeCell ref="B77:G77"/>
    <mergeCell ref="B78:B81"/>
    <mergeCell ref="B82:G82"/>
    <mergeCell ref="B84:G84"/>
    <mergeCell ref="A85:G85"/>
    <mergeCell ref="A87:G87"/>
    <mergeCell ref="A89:G89"/>
    <mergeCell ref="A90:A92"/>
    <mergeCell ref="A93:G93"/>
  </mergeCells>
  <printOptions horizontalCentered="1"/>
  <pageMargins left="0.27559055118110237" right="7.874015748031496E-2" top="0.27559055118110237" bottom="0.19685039370078741" header="0.11811023622047245" footer="0.11811023622047245"/>
  <pageSetup paperSize="8" scale="80" fitToHeight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66"/>
  <sheetViews>
    <sheetView tabSelected="1" workbookViewId="0">
      <selection activeCell="G51" sqref="G51"/>
    </sheetView>
  </sheetViews>
  <sheetFormatPr baseColWidth="10" defaultRowHeight="11.25"/>
  <cols>
    <col min="1" max="1" width="15.5703125" style="1" customWidth="1"/>
    <col min="2" max="2" width="25.28515625" style="5" customWidth="1"/>
    <col min="3" max="3" width="15.140625" style="5" customWidth="1"/>
    <col min="4" max="4" width="18.5703125" style="6" customWidth="1"/>
    <col min="5" max="5" width="20.42578125" style="1" customWidth="1"/>
    <col min="6" max="6" width="19.5703125" style="1" customWidth="1"/>
    <col min="7" max="7" width="14.5703125" style="1" customWidth="1"/>
    <col min="8" max="8" width="8.85546875" style="7" customWidth="1"/>
    <col min="9" max="9" width="14.28515625" style="8" customWidth="1"/>
    <col min="10" max="10" width="13" style="8" customWidth="1"/>
    <col min="11" max="11" width="13.28515625" style="8" customWidth="1"/>
    <col min="12" max="12" width="12.85546875" style="8" customWidth="1"/>
    <col min="13" max="13" width="12" style="8" customWidth="1"/>
    <col min="14" max="14" width="13.140625" style="8" customWidth="1"/>
    <col min="15" max="15" width="13.7109375" style="8" customWidth="1"/>
    <col min="16" max="16" width="6.42578125" style="8" customWidth="1"/>
    <col min="17" max="17" width="6.7109375" style="8" customWidth="1"/>
    <col min="18" max="18" width="6" style="8" customWidth="1"/>
    <col min="19" max="19" width="6.42578125" style="8" customWidth="1"/>
    <col min="20" max="16384" width="11.42578125" style="1"/>
  </cols>
  <sheetData>
    <row r="1" spans="1:20" ht="19.5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20" ht="21" customHeight="1">
      <c r="A2" s="171" t="s">
        <v>127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</row>
    <row r="3" spans="1:20" ht="19.5" customHeight="1">
      <c r="A3" s="172" t="s">
        <v>36</v>
      </c>
      <c r="B3" s="174" t="s">
        <v>1</v>
      </c>
      <c r="C3" s="176" t="s">
        <v>35</v>
      </c>
      <c r="D3" s="174" t="s">
        <v>2</v>
      </c>
      <c r="E3" s="174" t="s">
        <v>3</v>
      </c>
      <c r="F3" s="174" t="s">
        <v>4</v>
      </c>
      <c r="G3" s="174" t="s">
        <v>5</v>
      </c>
      <c r="H3" s="178" t="s">
        <v>6</v>
      </c>
      <c r="I3" s="179"/>
      <c r="J3" s="21" t="s">
        <v>7</v>
      </c>
      <c r="K3" s="22"/>
      <c r="L3" s="162" t="s">
        <v>8</v>
      </c>
      <c r="M3" s="163"/>
      <c r="N3" s="163"/>
      <c r="O3" s="164"/>
      <c r="P3" s="24" t="s">
        <v>75</v>
      </c>
      <c r="Q3" s="25"/>
      <c r="R3" s="25"/>
      <c r="S3" s="26"/>
    </row>
    <row r="4" spans="1:20" ht="24" customHeight="1">
      <c r="A4" s="173"/>
      <c r="B4" s="175"/>
      <c r="C4" s="177"/>
      <c r="D4" s="175"/>
      <c r="E4" s="175"/>
      <c r="F4" s="175"/>
      <c r="G4" s="175"/>
      <c r="H4" s="19" t="s">
        <v>9</v>
      </c>
      <c r="I4" s="20" t="s">
        <v>10</v>
      </c>
      <c r="J4" s="20" t="s">
        <v>11</v>
      </c>
      <c r="K4" s="20" t="s">
        <v>38</v>
      </c>
      <c r="L4" s="20">
        <v>1</v>
      </c>
      <c r="M4" s="20">
        <v>2</v>
      </c>
      <c r="N4" s="20">
        <v>3</v>
      </c>
      <c r="O4" s="20">
        <v>4</v>
      </c>
      <c r="P4" s="20">
        <v>1</v>
      </c>
      <c r="Q4" s="20">
        <v>2</v>
      </c>
      <c r="R4" s="20">
        <v>3</v>
      </c>
      <c r="S4" s="20">
        <v>4</v>
      </c>
    </row>
    <row r="5" spans="1:20" ht="82.5" customHeight="1">
      <c r="A5" s="151" t="s">
        <v>43</v>
      </c>
      <c r="B5" s="153" t="s">
        <v>44</v>
      </c>
      <c r="C5" s="105" t="s">
        <v>45</v>
      </c>
      <c r="D5" s="106" t="s">
        <v>37</v>
      </c>
      <c r="E5" s="106" t="s">
        <v>49</v>
      </c>
      <c r="F5" s="107" t="s">
        <v>130</v>
      </c>
      <c r="G5" s="107" t="s">
        <v>50</v>
      </c>
      <c r="H5" s="101"/>
      <c r="I5" s="96">
        <f>+J5+K5</f>
        <v>47500</v>
      </c>
      <c r="J5" s="96">
        <v>47500</v>
      </c>
      <c r="K5" s="96">
        <v>0</v>
      </c>
      <c r="L5" s="96"/>
      <c r="M5" s="96"/>
      <c r="N5" s="96">
        <f>+I5*0.4</f>
        <v>19000</v>
      </c>
      <c r="O5" s="96">
        <f>+I5-N5</f>
        <v>28500</v>
      </c>
      <c r="P5" s="108"/>
      <c r="Q5" s="108"/>
      <c r="R5" s="98">
        <v>0.4</v>
      </c>
      <c r="S5" s="98">
        <v>0.6</v>
      </c>
    </row>
    <row r="6" spans="1:20" ht="118.5" customHeight="1">
      <c r="A6" s="152"/>
      <c r="B6" s="154"/>
      <c r="C6" s="105" t="s">
        <v>12</v>
      </c>
      <c r="D6" s="106" t="s">
        <v>37</v>
      </c>
      <c r="E6" s="106" t="s">
        <v>49</v>
      </c>
      <c r="F6" s="107" t="s">
        <v>130</v>
      </c>
      <c r="G6" s="107" t="s">
        <v>50</v>
      </c>
      <c r="H6" s="101"/>
      <c r="I6" s="96">
        <f t="shared" ref="I6:I54" si="0">+J6+K6</f>
        <v>17000</v>
      </c>
      <c r="J6" s="96">
        <v>17000</v>
      </c>
      <c r="K6" s="96">
        <v>0</v>
      </c>
      <c r="L6" s="96"/>
      <c r="M6" s="96"/>
      <c r="N6" s="96">
        <f t="shared" ref="N6:N14" si="1">+I6*0.4</f>
        <v>6800</v>
      </c>
      <c r="O6" s="96">
        <f t="shared" ref="O6:O14" si="2">+I6-N6</f>
        <v>10200</v>
      </c>
      <c r="P6" s="108"/>
      <c r="Q6" s="108"/>
      <c r="R6" s="98">
        <v>0.4</v>
      </c>
      <c r="S6" s="98">
        <v>0.6</v>
      </c>
    </row>
    <row r="7" spans="1:20" ht="77.25" customHeight="1">
      <c r="A7" s="152"/>
      <c r="B7" s="154"/>
      <c r="C7" s="105" t="s">
        <v>46</v>
      </c>
      <c r="D7" s="106" t="s">
        <v>37</v>
      </c>
      <c r="E7" s="106" t="s">
        <v>49</v>
      </c>
      <c r="F7" s="107" t="s">
        <v>130</v>
      </c>
      <c r="G7" s="107" t="s">
        <v>50</v>
      </c>
      <c r="H7" s="101"/>
      <c r="I7" s="96">
        <f t="shared" si="0"/>
        <v>20400</v>
      </c>
      <c r="J7" s="96">
        <v>20400</v>
      </c>
      <c r="K7" s="96">
        <v>0</v>
      </c>
      <c r="L7" s="96"/>
      <c r="M7" s="96"/>
      <c r="N7" s="96">
        <f t="shared" si="1"/>
        <v>8160</v>
      </c>
      <c r="O7" s="96">
        <f t="shared" si="2"/>
        <v>12240</v>
      </c>
      <c r="P7" s="108"/>
      <c r="Q7" s="108"/>
      <c r="R7" s="98">
        <v>0.4</v>
      </c>
      <c r="S7" s="98">
        <v>0.6</v>
      </c>
    </row>
    <row r="8" spans="1:20" ht="36" customHeight="1">
      <c r="A8" s="152"/>
      <c r="B8" s="154"/>
      <c r="C8" s="105" t="s">
        <v>13</v>
      </c>
      <c r="D8" s="106" t="s">
        <v>37</v>
      </c>
      <c r="E8" s="106" t="s">
        <v>49</v>
      </c>
      <c r="F8" s="107" t="s">
        <v>130</v>
      </c>
      <c r="G8" s="107" t="s">
        <v>50</v>
      </c>
      <c r="H8" s="101"/>
      <c r="I8" s="96">
        <f t="shared" si="0"/>
        <v>17000</v>
      </c>
      <c r="J8" s="96">
        <v>17000</v>
      </c>
      <c r="K8" s="96">
        <v>0</v>
      </c>
      <c r="L8" s="96"/>
      <c r="M8" s="96"/>
      <c r="N8" s="96">
        <f t="shared" si="1"/>
        <v>6800</v>
      </c>
      <c r="O8" s="96">
        <f t="shared" si="2"/>
        <v>10200</v>
      </c>
      <c r="P8" s="108"/>
      <c r="Q8" s="108"/>
      <c r="R8" s="98">
        <v>0.4</v>
      </c>
      <c r="S8" s="98">
        <v>0.6</v>
      </c>
      <c r="T8" s="23"/>
    </row>
    <row r="9" spans="1:20" ht="45">
      <c r="A9" s="152"/>
      <c r="B9" s="154"/>
      <c r="C9" s="105" t="s">
        <v>14</v>
      </c>
      <c r="D9" s="106" t="s">
        <v>37</v>
      </c>
      <c r="E9" s="106" t="s">
        <v>49</v>
      </c>
      <c r="F9" s="107" t="s">
        <v>130</v>
      </c>
      <c r="G9" s="107" t="s">
        <v>50</v>
      </c>
      <c r="H9" s="101"/>
      <c r="I9" s="96">
        <f t="shared" si="0"/>
        <v>13600</v>
      </c>
      <c r="J9" s="96">
        <v>13600</v>
      </c>
      <c r="K9" s="96">
        <v>0</v>
      </c>
      <c r="L9" s="96"/>
      <c r="M9" s="96"/>
      <c r="N9" s="96">
        <f t="shared" si="1"/>
        <v>5440</v>
      </c>
      <c r="O9" s="96">
        <f t="shared" si="2"/>
        <v>8160</v>
      </c>
      <c r="P9" s="108"/>
      <c r="Q9" s="108"/>
      <c r="R9" s="98">
        <v>0.4</v>
      </c>
      <c r="S9" s="98">
        <v>0.6</v>
      </c>
    </row>
    <row r="10" spans="1:20" ht="45">
      <c r="A10" s="152"/>
      <c r="B10" s="154"/>
      <c r="C10" s="105" t="s">
        <v>15</v>
      </c>
      <c r="D10" s="106" t="s">
        <v>37</v>
      </c>
      <c r="E10" s="106" t="s">
        <v>49</v>
      </c>
      <c r="F10" s="107" t="s">
        <v>130</v>
      </c>
      <c r="G10" s="107" t="s">
        <v>50</v>
      </c>
      <c r="H10" s="101"/>
      <c r="I10" s="96">
        <f t="shared" si="0"/>
        <v>10180</v>
      </c>
      <c r="J10" s="96">
        <v>10180</v>
      </c>
      <c r="K10" s="96">
        <v>0</v>
      </c>
      <c r="L10" s="96"/>
      <c r="M10" s="96"/>
      <c r="N10" s="96">
        <f t="shared" si="1"/>
        <v>4072</v>
      </c>
      <c r="O10" s="96">
        <f t="shared" si="2"/>
        <v>6108</v>
      </c>
      <c r="P10" s="108"/>
      <c r="Q10" s="108"/>
      <c r="R10" s="98">
        <v>0.4</v>
      </c>
      <c r="S10" s="98">
        <v>0.6</v>
      </c>
    </row>
    <row r="11" spans="1:20" ht="34.5" customHeight="1">
      <c r="A11" s="152"/>
      <c r="B11" s="154"/>
      <c r="C11" s="105" t="s">
        <v>16</v>
      </c>
      <c r="D11" s="106" t="s">
        <v>37</v>
      </c>
      <c r="E11" s="106" t="s">
        <v>49</v>
      </c>
      <c r="F11" s="107" t="s">
        <v>130</v>
      </c>
      <c r="G11" s="107" t="s">
        <v>50</v>
      </c>
      <c r="H11" s="101"/>
      <c r="I11" s="96">
        <f t="shared" si="0"/>
        <v>20400</v>
      </c>
      <c r="J11" s="96">
        <v>20400</v>
      </c>
      <c r="K11" s="96">
        <v>0</v>
      </c>
      <c r="L11" s="96"/>
      <c r="M11" s="96"/>
      <c r="N11" s="96">
        <f t="shared" si="1"/>
        <v>8160</v>
      </c>
      <c r="O11" s="96">
        <f t="shared" si="2"/>
        <v>12240</v>
      </c>
      <c r="P11" s="108"/>
      <c r="Q11" s="108"/>
      <c r="R11" s="98">
        <v>0.4</v>
      </c>
      <c r="S11" s="98">
        <v>0.6</v>
      </c>
    </row>
    <row r="12" spans="1:20" ht="106.5" customHeight="1">
      <c r="A12" s="152"/>
      <c r="B12" s="154"/>
      <c r="C12" s="105" t="s">
        <v>63</v>
      </c>
      <c r="D12" s="106" t="s">
        <v>37</v>
      </c>
      <c r="E12" s="106" t="s">
        <v>49</v>
      </c>
      <c r="F12" s="107" t="s">
        <v>130</v>
      </c>
      <c r="G12" s="107" t="s">
        <v>50</v>
      </c>
      <c r="H12" s="101"/>
      <c r="I12" s="96">
        <f t="shared" si="0"/>
        <v>27200</v>
      </c>
      <c r="J12" s="96">
        <v>27200</v>
      </c>
      <c r="K12" s="96">
        <v>0</v>
      </c>
      <c r="L12" s="96"/>
      <c r="M12" s="96"/>
      <c r="N12" s="96">
        <f t="shared" si="1"/>
        <v>10880</v>
      </c>
      <c r="O12" s="96">
        <f t="shared" si="2"/>
        <v>16320</v>
      </c>
      <c r="P12" s="108"/>
      <c r="Q12" s="108"/>
      <c r="R12" s="98">
        <v>0.4</v>
      </c>
      <c r="S12" s="98">
        <v>0.6</v>
      </c>
    </row>
    <row r="13" spans="1:20" ht="45">
      <c r="A13" s="152"/>
      <c r="B13" s="154"/>
      <c r="C13" s="105" t="s">
        <v>17</v>
      </c>
      <c r="D13" s="106" t="s">
        <v>37</v>
      </c>
      <c r="E13" s="106" t="s">
        <v>49</v>
      </c>
      <c r="F13" s="107" t="s">
        <v>130</v>
      </c>
      <c r="G13" s="107" t="s">
        <v>50</v>
      </c>
      <c r="H13" s="101"/>
      <c r="I13" s="96">
        <f t="shared" si="0"/>
        <v>20400</v>
      </c>
      <c r="J13" s="96">
        <v>20400</v>
      </c>
      <c r="K13" s="96">
        <v>0</v>
      </c>
      <c r="L13" s="96"/>
      <c r="M13" s="96"/>
      <c r="N13" s="96">
        <f t="shared" si="1"/>
        <v>8160</v>
      </c>
      <c r="O13" s="96">
        <f t="shared" si="2"/>
        <v>12240</v>
      </c>
      <c r="P13" s="108"/>
      <c r="Q13" s="108"/>
      <c r="R13" s="98">
        <v>0.4</v>
      </c>
      <c r="S13" s="98">
        <v>0.6</v>
      </c>
    </row>
    <row r="14" spans="1:20" ht="45">
      <c r="A14" s="152"/>
      <c r="B14" s="154"/>
      <c r="C14" s="105" t="s">
        <v>18</v>
      </c>
      <c r="D14" s="106" t="s">
        <v>37</v>
      </c>
      <c r="E14" s="106" t="s">
        <v>49</v>
      </c>
      <c r="F14" s="107" t="s">
        <v>130</v>
      </c>
      <c r="G14" s="107" t="s">
        <v>50</v>
      </c>
      <c r="H14" s="101"/>
      <c r="I14" s="96">
        <f t="shared" si="0"/>
        <v>10200</v>
      </c>
      <c r="J14" s="96">
        <v>7200</v>
      </c>
      <c r="K14" s="96">
        <v>3000</v>
      </c>
      <c r="L14" s="96"/>
      <c r="M14" s="96"/>
      <c r="N14" s="96">
        <f t="shared" si="1"/>
        <v>4080</v>
      </c>
      <c r="O14" s="96">
        <f t="shared" si="2"/>
        <v>6120</v>
      </c>
      <c r="P14" s="108"/>
      <c r="Q14" s="108"/>
      <c r="R14" s="98">
        <v>0.4</v>
      </c>
      <c r="S14" s="98">
        <v>0.6</v>
      </c>
    </row>
    <row r="15" spans="1:20" ht="17.25" customHeight="1">
      <c r="A15" s="152"/>
      <c r="B15" s="154"/>
      <c r="C15" s="109"/>
      <c r="D15" s="110"/>
      <c r="E15" s="111"/>
      <c r="F15" s="112" t="s">
        <v>80</v>
      </c>
      <c r="G15" s="109" t="s">
        <v>64</v>
      </c>
      <c r="H15" s="101"/>
      <c r="I15" s="97">
        <f>SUM(I5:I14)</f>
        <v>203880</v>
      </c>
      <c r="J15" s="97">
        <f t="shared" ref="J15:O15" si="3">SUM(J5:J14)</f>
        <v>200880</v>
      </c>
      <c r="K15" s="97">
        <f t="shared" si="3"/>
        <v>3000</v>
      </c>
      <c r="L15" s="97">
        <f t="shared" si="3"/>
        <v>0</v>
      </c>
      <c r="M15" s="97">
        <f t="shared" si="3"/>
        <v>0</v>
      </c>
      <c r="N15" s="97">
        <f t="shared" si="3"/>
        <v>81552</v>
      </c>
      <c r="O15" s="97">
        <f t="shared" si="3"/>
        <v>122328</v>
      </c>
      <c r="P15" s="98"/>
      <c r="Q15" s="108"/>
      <c r="R15" s="108"/>
      <c r="S15" s="98"/>
    </row>
    <row r="16" spans="1:20" ht="57.75" customHeight="1">
      <c r="A16" s="152"/>
      <c r="B16" s="154"/>
      <c r="C16" s="105" t="s">
        <v>19</v>
      </c>
      <c r="D16" s="106" t="s">
        <v>37</v>
      </c>
      <c r="E16" s="106" t="s">
        <v>49</v>
      </c>
      <c r="F16" s="107" t="s">
        <v>130</v>
      </c>
      <c r="G16" s="107" t="s">
        <v>50</v>
      </c>
      <c r="H16" s="101"/>
      <c r="I16" s="96">
        <f t="shared" si="0"/>
        <v>40800</v>
      </c>
      <c r="J16" s="96">
        <f>27800</f>
        <v>27800</v>
      </c>
      <c r="K16" s="96">
        <v>13000</v>
      </c>
      <c r="L16" s="96"/>
      <c r="M16" s="96"/>
      <c r="N16" s="96">
        <f>+I16*0.4</f>
        <v>16320</v>
      </c>
      <c r="O16" s="96">
        <f>+I16-N16</f>
        <v>24480</v>
      </c>
      <c r="P16" s="108"/>
      <c r="Q16" s="108"/>
      <c r="R16" s="98">
        <v>0.4</v>
      </c>
      <c r="S16" s="98">
        <v>0.6</v>
      </c>
    </row>
    <row r="17" spans="1:19" ht="60" customHeight="1">
      <c r="A17" s="152"/>
      <c r="B17" s="154"/>
      <c r="C17" s="105" t="s">
        <v>47</v>
      </c>
      <c r="D17" s="106" t="s">
        <v>37</v>
      </c>
      <c r="E17" s="106" t="s">
        <v>49</v>
      </c>
      <c r="F17" s="107" t="s">
        <v>130</v>
      </c>
      <c r="G17" s="107" t="s">
        <v>50</v>
      </c>
      <c r="H17" s="101"/>
      <c r="I17" s="96">
        <f t="shared" si="0"/>
        <v>27200</v>
      </c>
      <c r="J17" s="96">
        <v>27200</v>
      </c>
      <c r="K17" s="96">
        <v>0</v>
      </c>
      <c r="L17" s="96"/>
      <c r="M17" s="96"/>
      <c r="N17" s="96">
        <f>+I17*0.4</f>
        <v>10880</v>
      </c>
      <c r="O17" s="96">
        <f>+I17-N17</f>
        <v>16320</v>
      </c>
      <c r="P17" s="108"/>
      <c r="Q17" s="108"/>
      <c r="R17" s="98">
        <v>0.4</v>
      </c>
      <c r="S17" s="98">
        <v>0.6</v>
      </c>
    </row>
    <row r="18" spans="1:19" ht="17.25" customHeight="1">
      <c r="A18" s="152"/>
      <c r="B18" s="154"/>
      <c r="C18" s="109"/>
      <c r="D18" s="109"/>
      <c r="E18" s="109"/>
      <c r="F18" s="113" t="s">
        <v>79</v>
      </c>
      <c r="G18" s="109" t="s">
        <v>69</v>
      </c>
      <c r="H18" s="101"/>
      <c r="I18" s="97">
        <f>SUM(I16:I17)</f>
        <v>68000</v>
      </c>
      <c r="J18" s="97">
        <f t="shared" ref="J18:O18" si="4">SUM(J16:J17)</f>
        <v>55000</v>
      </c>
      <c r="K18" s="97">
        <f t="shared" si="4"/>
        <v>13000</v>
      </c>
      <c r="L18" s="97">
        <f t="shared" si="4"/>
        <v>0</v>
      </c>
      <c r="M18" s="97">
        <f t="shared" si="4"/>
        <v>0</v>
      </c>
      <c r="N18" s="97">
        <f t="shared" si="4"/>
        <v>27200</v>
      </c>
      <c r="O18" s="97">
        <f t="shared" si="4"/>
        <v>40800</v>
      </c>
      <c r="P18" s="98"/>
      <c r="Q18" s="108"/>
      <c r="R18" s="108"/>
      <c r="S18" s="98"/>
    </row>
    <row r="19" spans="1:19" ht="45">
      <c r="A19" s="152"/>
      <c r="B19" s="154"/>
      <c r="C19" s="105" t="s">
        <v>20</v>
      </c>
      <c r="D19" s="106" t="s">
        <v>37</v>
      </c>
      <c r="E19" s="106" t="s">
        <v>49</v>
      </c>
      <c r="F19" s="107" t="s">
        <v>130</v>
      </c>
      <c r="G19" s="107" t="s">
        <v>50</v>
      </c>
      <c r="H19" s="101"/>
      <c r="I19" s="96">
        <f t="shared" si="0"/>
        <v>17000</v>
      </c>
      <c r="J19" s="96">
        <v>11912</v>
      </c>
      <c r="K19" s="96">
        <v>5088</v>
      </c>
      <c r="L19" s="96"/>
      <c r="M19" s="96"/>
      <c r="N19" s="96">
        <f>+I19*0.4</f>
        <v>6800</v>
      </c>
      <c r="O19" s="96">
        <f>+I19-N19</f>
        <v>10200</v>
      </c>
      <c r="P19" s="108"/>
      <c r="Q19" s="108"/>
      <c r="R19" s="98">
        <v>0.4</v>
      </c>
      <c r="S19" s="98">
        <v>0.6</v>
      </c>
    </row>
    <row r="20" spans="1:19" ht="45">
      <c r="A20" s="152"/>
      <c r="B20" s="154"/>
      <c r="C20" s="105" t="s">
        <v>65</v>
      </c>
      <c r="D20" s="106" t="s">
        <v>37</v>
      </c>
      <c r="E20" s="106" t="s">
        <v>49</v>
      </c>
      <c r="F20" s="107" t="s">
        <v>130</v>
      </c>
      <c r="G20" s="107" t="s">
        <v>50</v>
      </c>
      <c r="H20" s="101"/>
      <c r="I20" s="96">
        <f t="shared" si="0"/>
        <v>20500</v>
      </c>
      <c r="J20" s="96">
        <v>16300</v>
      </c>
      <c r="K20" s="96">
        <v>4200</v>
      </c>
      <c r="L20" s="96"/>
      <c r="M20" s="96"/>
      <c r="N20" s="96">
        <f t="shared" ref="N20:N25" si="5">+I20*0.4</f>
        <v>8200</v>
      </c>
      <c r="O20" s="96">
        <f t="shared" ref="O20:O25" si="6">+I20-N20</f>
        <v>12300</v>
      </c>
      <c r="P20" s="108"/>
      <c r="Q20" s="108"/>
      <c r="R20" s="98">
        <v>0.4</v>
      </c>
      <c r="S20" s="98">
        <v>0.6</v>
      </c>
    </row>
    <row r="21" spans="1:19" ht="45">
      <c r="A21" s="152"/>
      <c r="B21" s="154"/>
      <c r="C21" s="105" t="s">
        <v>66</v>
      </c>
      <c r="D21" s="106" t="s">
        <v>37</v>
      </c>
      <c r="E21" s="106" t="s">
        <v>49</v>
      </c>
      <c r="F21" s="107" t="s">
        <v>130</v>
      </c>
      <c r="G21" s="107" t="s">
        <v>50</v>
      </c>
      <c r="H21" s="101"/>
      <c r="I21" s="96">
        <f t="shared" si="0"/>
        <v>34000</v>
      </c>
      <c r="J21" s="96">
        <v>26600</v>
      </c>
      <c r="K21" s="96">
        <v>7400</v>
      </c>
      <c r="L21" s="96"/>
      <c r="M21" s="96"/>
      <c r="N21" s="96">
        <f t="shared" si="5"/>
        <v>13600</v>
      </c>
      <c r="O21" s="96">
        <f t="shared" si="6"/>
        <v>20400</v>
      </c>
      <c r="P21" s="108"/>
      <c r="Q21" s="108"/>
      <c r="R21" s="98">
        <v>0.4</v>
      </c>
      <c r="S21" s="98">
        <v>0.6</v>
      </c>
    </row>
    <row r="22" spans="1:19" ht="45">
      <c r="A22" s="152"/>
      <c r="B22" s="154"/>
      <c r="C22" s="105" t="s">
        <v>21</v>
      </c>
      <c r="D22" s="106" t="s">
        <v>37</v>
      </c>
      <c r="E22" s="106" t="s">
        <v>49</v>
      </c>
      <c r="F22" s="107" t="s">
        <v>130</v>
      </c>
      <c r="G22" s="107" t="s">
        <v>50</v>
      </c>
      <c r="H22" s="101"/>
      <c r="I22" s="96">
        <f>+J22+K22</f>
        <v>20400</v>
      </c>
      <c r="J22" s="96">
        <v>14294</v>
      </c>
      <c r="K22" s="96">
        <v>6106</v>
      </c>
      <c r="L22" s="96"/>
      <c r="M22" s="96"/>
      <c r="N22" s="96">
        <f t="shared" si="5"/>
        <v>8160</v>
      </c>
      <c r="O22" s="96">
        <f t="shared" si="6"/>
        <v>12240</v>
      </c>
      <c r="P22" s="108"/>
      <c r="Q22" s="108"/>
      <c r="R22" s="98">
        <v>0.4</v>
      </c>
      <c r="S22" s="98">
        <v>0.6</v>
      </c>
    </row>
    <row r="23" spans="1:19" ht="74.25">
      <c r="A23" s="152"/>
      <c r="B23" s="154"/>
      <c r="C23" s="105" t="s">
        <v>67</v>
      </c>
      <c r="D23" s="106" t="s">
        <v>37</v>
      </c>
      <c r="E23" s="106" t="s">
        <v>49</v>
      </c>
      <c r="F23" s="107" t="s">
        <v>130</v>
      </c>
      <c r="G23" s="107" t="s">
        <v>50</v>
      </c>
      <c r="H23" s="101"/>
      <c r="I23" s="96">
        <f t="shared" si="0"/>
        <v>30600</v>
      </c>
      <c r="J23" s="96">
        <v>22600</v>
      </c>
      <c r="K23" s="96">
        <v>8000</v>
      </c>
      <c r="L23" s="96"/>
      <c r="M23" s="96"/>
      <c r="N23" s="96">
        <f t="shared" si="5"/>
        <v>12240</v>
      </c>
      <c r="O23" s="96">
        <f t="shared" si="6"/>
        <v>18360</v>
      </c>
      <c r="P23" s="108"/>
      <c r="Q23" s="108"/>
      <c r="R23" s="98">
        <v>0.4</v>
      </c>
      <c r="S23" s="98">
        <v>0.6</v>
      </c>
    </row>
    <row r="24" spans="1:19" ht="107.25">
      <c r="A24" s="152"/>
      <c r="B24" s="154"/>
      <c r="C24" s="105" t="s">
        <v>68</v>
      </c>
      <c r="D24" s="106" t="s">
        <v>37</v>
      </c>
      <c r="E24" s="106" t="s">
        <v>49</v>
      </c>
      <c r="F24" s="107" t="s">
        <v>130</v>
      </c>
      <c r="G24" s="107" t="s">
        <v>50</v>
      </c>
      <c r="H24" s="101"/>
      <c r="I24" s="96">
        <f t="shared" si="0"/>
        <v>20500</v>
      </c>
      <c r="J24" s="96">
        <v>14394</v>
      </c>
      <c r="K24" s="96">
        <v>6106</v>
      </c>
      <c r="L24" s="96"/>
      <c r="M24" s="96"/>
      <c r="N24" s="96">
        <f t="shared" si="5"/>
        <v>8200</v>
      </c>
      <c r="O24" s="96">
        <f t="shared" si="6"/>
        <v>12300</v>
      </c>
      <c r="P24" s="108"/>
      <c r="Q24" s="108"/>
      <c r="R24" s="98">
        <v>0.4</v>
      </c>
      <c r="S24" s="98">
        <v>0.6</v>
      </c>
    </row>
    <row r="25" spans="1:19" ht="45">
      <c r="A25" s="152"/>
      <c r="B25" s="154"/>
      <c r="C25" s="105" t="s">
        <v>126</v>
      </c>
      <c r="D25" s="106" t="s">
        <v>37</v>
      </c>
      <c r="E25" s="106" t="s">
        <v>49</v>
      </c>
      <c r="F25" s="107" t="s">
        <v>130</v>
      </c>
      <c r="G25" s="107" t="s">
        <v>50</v>
      </c>
      <c r="H25" s="101"/>
      <c r="I25" s="96">
        <f t="shared" ref="I25" si="7">+J25+K25</f>
        <v>13567.82</v>
      </c>
      <c r="J25" s="96">
        <v>13567.82</v>
      </c>
      <c r="K25" s="96">
        <v>0</v>
      </c>
      <c r="L25" s="96"/>
      <c r="M25" s="96"/>
      <c r="N25" s="96">
        <f t="shared" si="5"/>
        <v>5427.1280000000006</v>
      </c>
      <c r="O25" s="96">
        <f t="shared" si="6"/>
        <v>8140.6919999999991</v>
      </c>
      <c r="P25" s="108"/>
      <c r="Q25" s="108"/>
      <c r="R25" s="98">
        <v>0.4</v>
      </c>
      <c r="S25" s="98">
        <v>0.6</v>
      </c>
    </row>
    <row r="26" spans="1:19" ht="18" customHeight="1">
      <c r="A26" s="152"/>
      <c r="B26" s="154"/>
      <c r="C26" s="109"/>
      <c r="D26" s="109"/>
      <c r="E26" s="109"/>
      <c r="F26" s="113" t="s">
        <v>81</v>
      </c>
      <c r="G26" s="109" t="s">
        <v>70</v>
      </c>
      <c r="H26" s="101"/>
      <c r="I26" s="97">
        <f>SUM(I19:I25)</f>
        <v>156567.82</v>
      </c>
      <c r="J26" s="97">
        <f t="shared" ref="J26:O26" si="8">SUM(J19:J25)</f>
        <v>119667.82</v>
      </c>
      <c r="K26" s="97">
        <f t="shared" si="8"/>
        <v>36900</v>
      </c>
      <c r="L26" s="97">
        <f t="shared" si="8"/>
        <v>0</v>
      </c>
      <c r="M26" s="97">
        <f t="shared" si="8"/>
        <v>0</v>
      </c>
      <c r="N26" s="97">
        <f t="shared" si="8"/>
        <v>62627.127999999997</v>
      </c>
      <c r="O26" s="97">
        <f t="shared" si="8"/>
        <v>93940.691999999995</v>
      </c>
      <c r="P26" s="98"/>
      <c r="Q26" s="108"/>
      <c r="R26" s="108"/>
      <c r="S26" s="98"/>
    </row>
    <row r="27" spans="1:19" ht="45">
      <c r="A27" s="152"/>
      <c r="B27" s="154"/>
      <c r="C27" s="105" t="s">
        <v>22</v>
      </c>
      <c r="D27" s="106" t="s">
        <v>37</v>
      </c>
      <c r="E27" s="106" t="s">
        <v>49</v>
      </c>
      <c r="F27" s="107" t="s">
        <v>130</v>
      </c>
      <c r="G27" s="107" t="s">
        <v>50</v>
      </c>
      <c r="H27" s="101"/>
      <c r="I27" s="96">
        <f t="shared" si="0"/>
        <v>23800</v>
      </c>
      <c r="J27" s="96">
        <v>16400</v>
      </c>
      <c r="K27" s="96">
        <v>7400</v>
      </c>
      <c r="L27" s="96"/>
      <c r="M27" s="96"/>
      <c r="N27" s="96">
        <f>+I27*0.4</f>
        <v>9520</v>
      </c>
      <c r="O27" s="96">
        <f>+I27-N27</f>
        <v>14280</v>
      </c>
      <c r="P27" s="108"/>
      <c r="Q27" s="108"/>
      <c r="R27" s="98">
        <v>0.4</v>
      </c>
      <c r="S27" s="98">
        <v>0.6</v>
      </c>
    </row>
    <row r="28" spans="1:19" ht="45">
      <c r="A28" s="152"/>
      <c r="B28" s="154"/>
      <c r="C28" s="105" t="s">
        <v>23</v>
      </c>
      <c r="D28" s="106" t="s">
        <v>37</v>
      </c>
      <c r="E28" s="106" t="s">
        <v>49</v>
      </c>
      <c r="F28" s="107" t="s">
        <v>130</v>
      </c>
      <c r="G28" s="107" t="s">
        <v>50</v>
      </c>
      <c r="H28" s="101"/>
      <c r="I28" s="96">
        <f t="shared" si="0"/>
        <v>13600</v>
      </c>
      <c r="J28" s="96">
        <v>8600</v>
      </c>
      <c r="K28" s="96">
        <v>5000</v>
      </c>
      <c r="L28" s="96"/>
      <c r="M28" s="96"/>
      <c r="N28" s="96">
        <f t="shared" ref="N28:N32" si="9">+I28*0.4</f>
        <v>5440</v>
      </c>
      <c r="O28" s="96">
        <f t="shared" ref="O28:O32" si="10">+I28-N28</f>
        <v>8160</v>
      </c>
      <c r="P28" s="108"/>
      <c r="Q28" s="108"/>
      <c r="R28" s="98">
        <v>0.4</v>
      </c>
      <c r="S28" s="98">
        <v>0.6</v>
      </c>
    </row>
    <row r="29" spans="1:19" ht="63.75" customHeight="1">
      <c r="A29" s="152"/>
      <c r="B29" s="154"/>
      <c r="C29" s="105" t="s">
        <v>24</v>
      </c>
      <c r="D29" s="106" t="s">
        <v>37</v>
      </c>
      <c r="E29" s="106" t="s">
        <v>49</v>
      </c>
      <c r="F29" s="107" t="s">
        <v>130</v>
      </c>
      <c r="G29" s="107" t="s">
        <v>50</v>
      </c>
      <c r="H29" s="101"/>
      <c r="I29" s="96">
        <f t="shared" si="0"/>
        <v>34000</v>
      </c>
      <c r="J29" s="96">
        <v>23824</v>
      </c>
      <c r="K29" s="96">
        <v>10176</v>
      </c>
      <c r="L29" s="96"/>
      <c r="M29" s="96"/>
      <c r="N29" s="96">
        <f t="shared" si="9"/>
        <v>13600</v>
      </c>
      <c r="O29" s="96">
        <f t="shared" si="10"/>
        <v>20400</v>
      </c>
      <c r="P29" s="108"/>
      <c r="Q29" s="108"/>
      <c r="R29" s="98">
        <v>0.4</v>
      </c>
      <c r="S29" s="98">
        <v>0.6</v>
      </c>
    </row>
    <row r="30" spans="1:19" ht="49.5">
      <c r="A30" s="152"/>
      <c r="B30" s="154"/>
      <c r="C30" s="105" t="s">
        <v>25</v>
      </c>
      <c r="D30" s="106" t="s">
        <v>37</v>
      </c>
      <c r="E30" s="106" t="s">
        <v>49</v>
      </c>
      <c r="F30" s="107" t="s">
        <v>130</v>
      </c>
      <c r="G30" s="107" t="s">
        <v>50</v>
      </c>
      <c r="H30" s="101"/>
      <c r="I30" s="96">
        <f t="shared" si="0"/>
        <v>34200</v>
      </c>
      <c r="J30" s="96">
        <v>34200</v>
      </c>
      <c r="K30" s="96">
        <v>0</v>
      </c>
      <c r="L30" s="96"/>
      <c r="M30" s="96"/>
      <c r="N30" s="96">
        <f t="shared" si="9"/>
        <v>13680</v>
      </c>
      <c r="O30" s="96">
        <f t="shared" si="10"/>
        <v>20520</v>
      </c>
      <c r="P30" s="108"/>
      <c r="Q30" s="108"/>
      <c r="R30" s="98">
        <v>0.4</v>
      </c>
      <c r="S30" s="98">
        <v>0.6</v>
      </c>
    </row>
    <row r="31" spans="1:19" ht="57.75">
      <c r="A31" s="152"/>
      <c r="B31" s="154"/>
      <c r="C31" s="105" t="s">
        <v>26</v>
      </c>
      <c r="D31" s="106" t="s">
        <v>37</v>
      </c>
      <c r="E31" s="106" t="s">
        <v>49</v>
      </c>
      <c r="F31" s="107" t="s">
        <v>130</v>
      </c>
      <c r="G31" s="107" t="s">
        <v>50</v>
      </c>
      <c r="H31" s="101"/>
      <c r="I31" s="96">
        <f t="shared" si="0"/>
        <v>17000</v>
      </c>
      <c r="J31" s="96">
        <v>12000</v>
      </c>
      <c r="K31" s="96">
        <v>5000</v>
      </c>
      <c r="L31" s="96"/>
      <c r="M31" s="96"/>
      <c r="N31" s="96">
        <f t="shared" si="9"/>
        <v>6800</v>
      </c>
      <c r="O31" s="96">
        <f t="shared" si="10"/>
        <v>10200</v>
      </c>
      <c r="P31" s="108"/>
      <c r="Q31" s="108"/>
      <c r="R31" s="98">
        <v>0.4</v>
      </c>
      <c r="S31" s="98">
        <v>0.6</v>
      </c>
    </row>
    <row r="32" spans="1:19" ht="45">
      <c r="A32" s="152"/>
      <c r="B32" s="154"/>
      <c r="C32" s="105" t="s">
        <v>48</v>
      </c>
      <c r="D32" s="106" t="s">
        <v>37</v>
      </c>
      <c r="E32" s="106" t="s">
        <v>49</v>
      </c>
      <c r="F32" s="107" t="s">
        <v>130</v>
      </c>
      <c r="G32" s="107" t="s">
        <v>50</v>
      </c>
      <c r="H32" s="101"/>
      <c r="I32" s="96">
        <f t="shared" si="0"/>
        <v>20400</v>
      </c>
      <c r="J32" s="96">
        <v>15400</v>
      </c>
      <c r="K32" s="96">
        <v>5000</v>
      </c>
      <c r="L32" s="96"/>
      <c r="M32" s="96"/>
      <c r="N32" s="96">
        <f t="shared" si="9"/>
        <v>8160</v>
      </c>
      <c r="O32" s="96">
        <f t="shared" si="10"/>
        <v>12240</v>
      </c>
      <c r="P32" s="108"/>
      <c r="Q32" s="108"/>
      <c r="R32" s="98">
        <v>0.4</v>
      </c>
      <c r="S32" s="98">
        <v>0.6</v>
      </c>
    </row>
    <row r="33" spans="1:19" ht="19.5" customHeight="1">
      <c r="A33" s="152"/>
      <c r="B33" s="154"/>
      <c r="C33" s="109"/>
      <c r="D33" s="109"/>
      <c r="E33" s="109"/>
      <c r="F33" s="113" t="s">
        <v>83</v>
      </c>
      <c r="G33" s="109" t="s">
        <v>71</v>
      </c>
      <c r="H33" s="101"/>
      <c r="I33" s="97">
        <f>SUM(I27:I32)</f>
        <v>143000</v>
      </c>
      <c r="J33" s="97">
        <f t="shared" ref="J33:O33" si="11">SUM(J27:J32)</f>
        <v>110424</v>
      </c>
      <c r="K33" s="97">
        <f t="shared" si="11"/>
        <v>32576</v>
      </c>
      <c r="L33" s="97">
        <f t="shared" si="11"/>
        <v>0</v>
      </c>
      <c r="M33" s="97">
        <f t="shared" si="11"/>
        <v>0</v>
      </c>
      <c r="N33" s="97">
        <f t="shared" si="11"/>
        <v>57200</v>
      </c>
      <c r="O33" s="97">
        <f t="shared" si="11"/>
        <v>85800</v>
      </c>
      <c r="P33" s="98"/>
      <c r="Q33" s="108"/>
      <c r="R33" s="108"/>
      <c r="S33" s="98"/>
    </row>
    <row r="34" spans="1:19" ht="49.5">
      <c r="A34" s="152"/>
      <c r="B34" s="154"/>
      <c r="C34" s="105" t="s">
        <v>27</v>
      </c>
      <c r="D34" s="106" t="s">
        <v>37</v>
      </c>
      <c r="E34" s="106" t="s">
        <v>49</v>
      </c>
      <c r="F34" s="107" t="s">
        <v>130</v>
      </c>
      <c r="G34" s="107" t="s">
        <v>50</v>
      </c>
      <c r="H34" s="101"/>
      <c r="I34" s="96">
        <f t="shared" si="0"/>
        <v>34100</v>
      </c>
      <c r="J34" s="96">
        <v>24100</v>
      </c>
      <c r="K34" s="96">
        <v>10000</v>
      </c>
      <c r="L34" s="96"/>
      <c r="M34" s="96"/>
      <c r="N34" s="96">
        <f>+I34*0.4</f>
        <v>13640</v>
      </c>
      <c r="O34" s="96">
        <f>+I34-N34</f>
        <v>20460</v>
      </c>
      <c r="P34" s="108"/>
      <c r="Q34" s="108"/>
      <c r="R34" s="98">
        <v>0.4</v>
      </c>
      <c r="S34" s="98">
        <v>0.6</v>
      </c>
    </row>
    <row r="35" spans="1:19" ht="66">
      <c r="A35" s="152"/>
      <c r="B35" s="154"/>
      <c r="C35" s="105" t="s">
        <v>28</v>
      </c>
      <c r="D35" s="106" t="s">
        <v>37</v>
      </c>
      <c r="E35" s="106" t="s">
        <v>49</v>
      </c>
      <c r="F35" s="107" t="s">
        <v>130</v>
      </c>
      <c r="G35" s="107" t="s">
        <v>50</v>
      </c>
      <c r="H35" s="101"/>
      <c r="I35" s="96">
        <f t="shared" si="0"/>
        <v>17000</v>
      </c>
      <c r="J35" s="96">
        <v>11000</v>
      </c>
      <c r="K35" s="96">
        <v>6000</v>
      </c>
      <c r="L35" s="96"/>
      <c r="M35" s="96"/>
      <c r="N35" s="96">
        <f t="shared" ref="N35:N36" si="12">+I35*0.4</f>
        <v>6800</v>
      </c>
      <c r="O35" s="96">
        <f t="shared" ref="O35:O36" si="13">+I35-N35</f>
        <v>10200</v>
      </c>
      <c r="P35" s="108"/>
      <c r="Q35" s="108"/>
      <c r="R35" s="98">
        <v>0.4</v>
      </c>
      <c r="S35" s="98">
        <v>0.6</v>
      </c>
    </row>
    <row r="36" spans="1:19" ht="57.75">
      <c r="A36" s="152"/>
      <c r="B36" s="154"/>
      <c r="C36" s="105" t="s">
        <v>29</v>
      </c>
      <c r="D36" s="106" t="s">
        <v>37</v>
      </c>
      <c r="E36" s="106" t="s">
        <v>49</v>
      </c>
      <c r="F36" s="107" t="s">
        <v>130</v>
      </c>
      <c r="G36" s="107" t="s">
        <v>50</v>
      </c>
      <c r="H36" s="101"/>
      <c r="I36" s="96">
        <f t="shared" si="0"/>
        <v>17000</v>
      </c>
      <c r="J36" s="96">
        <v>14000</v>
      </c>
      <c r="K36" s="96">
        <v>3000</v>
      </c>
      <c r="L36" s="96"/>
      <c r="M36" s="96"/>
      <c r="N36" s="96">
        <f t="shared" si="12"/>
        <v>6800</v>
      </c>
      <c r="O36" s="96">
        <f t="shared" si="13"/>
        <v>10200</v>
      </c>
      <c r="P36" s="108"/>
      <c r="Q36" s="108"/>
      <c r="R36" s="98">
        <v>0.4</v>
      </c>
      <c r="S36" s="98">
        <v>0.6</v>
      </c>
    </row>
    <row r="37" spans="1:19" ht="18" customHeight="1">
      <c r="A37" s="152"/>
      <c r="B37" s="154"/>
      <c r="C37" s="109"/>
      <c r="D37" s="109"/>
      <c r="E37" s="109"/>
      <c r="F37" s="113" t="s">
        <v>84</v>
      </c>
      <c r="G37" s="109" t="s">
        <v>72</v>
      </c>
      <c r="H37" s="101"/>
      <c r="I37" s="97">
        <f>SUM(I34:I36)</f>
        <v>68100</v>
      </c>
      <c r="J37" s="97">
        <f t="shared" ref="J37:O37" si="14">SUM(J34:J36)</f>
        <v>49100</v>
      </c>
      <c r="K37" s="97">
        <f t="shared" si="14"/>
        <v>19000</v>
      </c>
      <c r="L37" s="97">
        <f t="shared" si="14"/>
        <v>0</v>
      </c>
      <c r="M37" s="97">
        <f t="shared" si="14"/>
        <v>0</v>
      </c>
      <c r="N37" s="97">
        <f t="shared" si="14"/>
        <v>27240</v>
      </c>
      <c r="O37" s="97">
        <f t="shared" si="14"/>
        <v>40860</v>
      </c>
      <c r="P37" s="98"/>
      <c r="Q37" s="108"/>
      <c r="R37" s="108"/>
      <c r="S37" s="98"/>
    </row>
    <row r="38" spans="1:19" ht="45">
      <c r="A38" s="152"/>
      <c r="B38" s="154"/>
      <c r="C38" s="105" t="s">
        <v>30</v>
      </c>
      <c r="D38" s="106" t="s">
        <v>37</v>
      </c>
      <c r="E38" s="106" t="s">
        <v>49</v>
      </c>
      <c r="F38" s="107" t="s">
        <v>130</v>
      </c>
      <c r="G38" s="107" t="s">
        <v>50</v>
      </c>
      <c r="H38" s="101"/>
      <c r="I38" s="96">
        <f t="shared" si="0"/>
        <v>20400</v>
      </c>
      <c r="J38" s="96">
        <v>20400</v>
      </c>
      <c r="K38" s="96">
        <v>0</v>
      </c>
      <c r="L38" s="96"/>
      <c r="M38" s="96"/>
      <c r="N38" s="96">
        <f>+I38*0.4</f>
        <v>8160</v>
      </c>
      <c r="O38" s="96">
        <f>+I38-N38</f>
        <v>12240</v>
      </c>
      <c r="P38" s="108"/>
      <c r="Q38" s="108"/>
      <c r="R38" s="98">
        <v>0.4</v>
      </c>
      <c r="S38" s="98">
        <v>0.6</v>
      </c>
    </row>
    <row r="39" spans="1:19" ht="57.75">
      <c r="A39" s="152"/>
      <c r="B39" s="154"/>
      <c r="C39" s="105" t="s">
        <v>31</v>
      </c>
      <c r="D39" s="106" t="s">
        <v>37</v>
      </c>
      <c r="E39" s="106" t="s">
        <v>49</v>
      </c>
      <c r="F39" s="107" t="s">
        <v>130</v>
      </c>
      <c r="G39" s="107" t="s">
        <v>50</v>
      </c>
      <c r="H39" s="101"/>
      <c r="I39" s="96">
        <f t="shared" si="0"/>
        <v>37400</v>
      </c>
      <c r="J39" s="96">
        <v>28400</v>
      </c>
      <c r="K39" s="96">
        <v>9000</v>
      </c>
      <c r="L39" s="96"/>
      <c r="M39" s="96"/>
      <c r="N39" s="96">
        <f t="shared" ref="N39:N41" si="15">+I39*0.4</f>
        <v>14960</v>
      </c>
      <c r="O39" s="96">
        <f t="shared" ref="O39:O41" si="16">+I39-N39</f>
        <v>22440</v>
      </c>
      <c r="P39" s="108"/>
      <c r="Q39" s="108"/>
      <c r="R39" s="98">
        <v>0.4</v>
      </c>
      <c r="S39" s="98">
        <v>0.6</v>
      </c>
    </row>
    <row r="40" spans="1:19" ht="82.5">
      <c r="A40" s="152"/>
      <c r="B40" s="154"/>
      <c r="C40" s="105" t="s">
        <v>34</v>
      </c>
      <c r="D40" s="106" t="s">
        <v>37</v>
      </c>
      <c r="E40" s="106" t="s">
        <v>49</v>
      </c>
      <c r="F40" s="107" t="s">
        <v>130</v>
      </c>
      <c r="G40" s="107" t="s">
        <v>50</v>
      </c>
      <c r="H40" s="101"/>
      <c r="I40" s="96">
        <f t="shared" si="0"/>
        <v>44100</v>
      </c>
      <c r="J40" s="96">
        <v>35100</v>
      </c>
      <c r="K40" s="96">
        <v>9000</v>
      </c>
      <c r="L40" s="96"/>
      <c r="M40" s="96"/>
      <c r="N40" s="96">
        <f t="shared" si="15"/>
        <v>17640</v>
      </c>
      <c r="O40" s="96">
        <f t="shared" si="16"/>
        <v>26460</v>
      </c>
      <c r="P40" s="108"/>
      <c r="Q40" s="108"/>
      <c r="R40" s="98">
        <v>0.4</v>
      </c>
      <c r="S40" s="98">
        <v>0.6</v>
      </c>
    </row>
    <row r="41" spans="1:19" ht="45">
      <c r="A41" s="152"/>
      <c r="B41" s="154"/>
      <c r="C41" s="114" t="s">
        <v>73</v>
      </c>
      <c r="D41" s="106" t="s">
        <v>37</v>
      </c>
      <c r="E41" s="106" t="s">
        <v>49</v>
      </c>
      <c r="F41" s="107" t="s">
        <v>130</v>
      </c>
      <c r="G41" s="107" t="s">
        <v>50</v>
      </c>
      <c r="H41" s="101"/>
      <c r="I41" s="96">
        <f t="shared" si="0"/>
        <v>34000</v>
      </c>
      <c r="J41" s="96">
        <v>25000</v>
      </c>
      <c r="K41" s="96">
        <v>9000</v>
      </c>
      <c r="L41" s="96"/>
      <c r="M41" s="96"/>
      <c r="N41" s="96">
        <f t="shared" si="15"/>
        <v>13600</v>
      </c>
      <c r="O41" s="96">
        <f t="shared" si="16"/>
        <v>20400</v>
      </c>
      <c r="P41" s="108"/>
      <c r="Q41" s="108"/>
      <c r="R41" s="98">
        <v>0.4</v>
      </c>
      <c r="S41" s="98">
        <v>0.6</v>
      </c>
    </row>
    <row r="42" spans="1:19" ht="16.5" customHeight="1">
      <c r="A42" s="152"/>
      <c r="B42" s="155"/>
      <c r="C42" s="115"/>
      <c r="D42" s="116"/>
      <c r="E42" s="117"/>
      <c r="F42" s="118" t="s">
        <v>85</v>
      </c>
      <c r="G42" s="109" t="s">
        <v>74</v>
      </c>
      <c r="H42" s="119"/>
      <c r="I42" s="97">
        <f>SUM(I38:I41)</f>
        <v>135900</v>
      </c>
      <c r="J42" s="97">
        <f t="shared" ref="J42:O42" si="17">SUM(J38:J41)</f>
        <v>108900</v>
      </c>
      <c r="K42" s="97">
        <f t="shared" si="17"/>
        <v>27000</v>
      </c>
      <c r="L42" s="97">
        <f t="shared" si="17"/>
        <v>0</v>
      </c>
      <c r="M42" s="97">
        <f t="shared" si="17"/>
        <v>0</v>
      </c>
      <c r="N42" s="97">
        <f t="shared" si="17"/>
        <v>54360</v>
      </c>
      <c r="O42" s="97">
        <f t="shared" si="17"/>
        <v>81540</v>
      </c>
      <c r="P42" s="98"/>
      <c r="Q42" s="108"/>
      <c r="R42" s="108"/>
      <c r="S42" s="98"/>
    </row>
    <row r="43" spans="1:19" ht="24.75" customHeight="1">
      <c r="A43" s="152"/>
      <c r="B43" s="156" t="s">
        <v>129</v>
      </c>
      <c r="C43" s="157"/>
      <c r="D43" s="157"/>
      <c r="E43" s="157"/>
      <c r="F43" s="157"/>
      <c r="G43" s="158"/>
      <c r="H43" s="72"/>
      <c r="I43" s="72">
        <f>+I15+I18+I26+I33+I37+I42</f>
        <v>775447.82000000007</v>
      </c>
      <c r="J43" s="72">
        <f t="shared" ref="J43:O43" si="18">+J15+J18+J26+J33+J37+J42</f>
        <v>643971.82000000007</v>
      </c>
      <c r="K43" s="72">
        <f t="shared" si="18"/>
        <v>131476</v>
      </c>
      <c r="L43" s="72">
        <f t="shared" si="18"/>
        <v>0</v>
      </c>
      <c r="M43" s="72">
        <f t="shared" si="18"/>
        <v>0</v>
      </c>
      <c r="N43" s="72">
        <f t="shared" si="18"/>
        <v>310179.12800000003</v>
      </c>
      <c r="O43" s="72">
        <f t="shared" si="18"/>
        <v>465268.69199999998</v>
      </c>
      <c r="P43" s="72"/>
      <c r="Q43" s="72"/>
      <c r="R43" s="72"/>
      <c r="S43" s="72"/>
    </row>
    <row r="44" spans="1:19" ht="45">
      <c r="A44" s="152"/>
      <c r="B44" s="120" t="s">
        <v>51</v>
      </c>
      <c r="C44" s="121" t="s">
        <v>52</v>
      </c>
      <c r="D44" s="106" t="s">
        <v>132</v>
      </c>
      <c r="E44" s="122" t="s">
        <v>49</v>
      </c>
      <c r="F44" s="107" t="s">
        <v>130</v>
      </c>
      <c r="G44" s="107" t="s">
        <v>50</v>
      </c>
      <c r="H44" s="101"/>
      <c r="I44" s="96">
        <f t="shared" si="0"/>
        <v>100000</v>
      </c>
      <c r="J44" s="96">
        <v>100000</v>
      </c>
      <c r="K44" s="96"/>
      <c r="L44" s="96"/>
      <c r="M44" s="96">
        <f>+I44*0.2</f>
        <v>20000</v>
      </c>
      <c r="N44" s="96">
        <f>+I44*0.4</f>
        <v>40000</v>
      </c>
      <c r="O44" s="96">
        <v>40000</v>
      </c>
      <c r="P44" s="98"/>
      <c r="Q44" s="98">
        <v>0.2</v>
      </c>
      <c r="R44" s="98">
        <v>0.4</v>
      </c>
      <c r="S44" s="98">
        <v>0.4</v>
      </c>
    </row>
    <row r="45" spans="1:19" ht="24.75" customHeight="1">
      <c r="A45" s="152"/>
      <c r="B45" s="156" t="s">
        <v>131</v>
      </c>
      <c r="C45" s="157"/>
      <c r="D45" s="157"/>
      <c r="E45" s="157"/>
      <c r="F45" s="157"/>
      <c r="G45" s="158"/>
      <c r="H45" s="72"/>
      <c r="I45" s="73">
        <f>SUM(I44)</f>
        <v>100000</v>
      </c>
      <c r="J45" s="73">
        <f t="shared" ref="J45:O45" si="19">SUM(J44)</f>
        <v>100000</v>
      </c>
      <c r="K45" s="73">
        <f t="shared" si="19"/>
        <v>0</v>
      </c>
      <c r="L45" s="73">
        <f t="shared" si="19"/>
        <v>0</v>
      </c>
      <c r="M45" s="73">
        <f t="shared" si="19"/>
        <v>20000</v>
      </c>
      <c r="N45" s="73">
        <f t="shared" si="19"/>
        <v>40000</v>
      </c>
      <c r="O45" s="73">
        <f t="shared" si="19"/>
        <v>40000</v>
      </c>
      <c r="P45" s="83"/>
      <c r="Q45" s="83"/>
      <c r="R45" s="83"/>
      <c r="S45" s="83"/>
    </row>
    <row r="46" spans="1:19" ht="45">
      <c r="A46" s="152"/>
      <c r="B46" s="159" t="s">
        <v>53</v>
      </c>
      <c r="C46" s="121" t="s">
        <v>54</v>
      </c>
      <c r="D46" s="123" t="s">
        <v>133</v>
      </c>
      <c r="E46" s="122" t="s">
        <v>32</v>
      </c>
      <c r="F46" s="99" t="s">
        <v>134</v>
      </c>
      <c r="G46" s="99" t="s">
        <v>76</v>
      </c>
      <c r="H46" s="124"/>
      <c r="I46" s="96">
        <f t="shared" si="0"/>
        <v>149000</v>
      </c>
      <c r="J46" s="96">
        <v>149000</v>
      </c>
      <c r="K46" s="125"/>
      <c r="L46" s="96"/>
      <c r="M46" s="96">
        <f>+I46*0.2</f>
        <v>29800</v>
      </c>
      <c r="N46" s="96">
        <f>+I46*0.4</f>
        <v>59600</v>
      </c>
      <c r="O46" s="96">
        <f>+I46*0.4</f>
        <v>59600</v>
      </c>
      <c r="P46" s="98"/>
      <c r="Q46" s="98">
        <v>0.2</v>
      </c>
      <c r="R46" s="98">
        <v>0.4</v>
      </c>
      <c r="S46" s="98">
        <v>0.4</v>
      </c>
    </row>
    <row r="47" spans="1:19" ht="45">
      <c r="A47" s="152"/>
      <c r="B47" s="160"/>
      <c r="C47" s="121" t="s">
        <v>135</v>
      </c>
      <c r="D47" s="123" t="s">
        <v>133</v>
      </c>
      <c r="E47" s="122" t="s">
        <v>32</v>
      </c>
      <c r="F47" s="99" t="s">
        <v>147</v>
      </c>
      <c r="G47" s="99" t="s">
        <v>76</v>
      </c>
      <c r="H47" s="126"/>
      <c r="I47" s="96">
        <f t="shared" si="0"/>
        <v>75000</v>
      </c>
      <c r="J47" s="127">
        <v>75000</v>
      </c>
      <c r="K47" s="128"/>
      <c r="L47" s="127"/>
      <c r="M47" s="96">
        <f>+I47*0.2</f>
        <v>15000</v>
      </c>
      <c r="N47" s="96">
        <f>+I47*0.4</f>
        <v>30000</v>
      </c>
      <c r="O47" s="96">
        <f t="shared" ref="O47:O49" si="20">+I47*0.4</f>
        <v>30000</v>
      </c>
      <c r="P47" s="98"/>
      <c r="Q47" s="98">
        <v>0.2</v>
      </c>
      <c r="R47" s="98">
        <v>0.4</v>
      </c>
      <c r="S47" s="98">
        <v>0.4</v>
      </c>
    </row>
    <row r="48" spans="1:19" ht="45">
      <c r="A48" s="152"/>
      <c r="B48" s="160"/>
      <c r="C48" s="121" t="s">
        <v>136</v>
      </c>
      <c r="D48" s="123" t="s">
        <v>133</v>
      </c>
      <c r="E48" s="122" t="s">
        <v>32</v>
      </c>
      <c r="F48" s="99" t="s">
        <v>148</v>
      </c>
      <c r="G48" s="99" t="s">
        <v>76</v>
      </c>
      <c r="H48" s="126"/>
      <c r="I48" s="96">
        <f t="shared" ref="I48:I49" si="21">+J48+K48</f>
        <v>56126.8</v>
      </c>
      <c r="J48" s="127">
        <v>56126.8</v>
      </c>
      <c r="K48" s="128"/>
      <c r="L48" s="127"/>
      <c r="M48" s="96">
        <f>+I48*0.2</f>
        <v>11225.36</v>
      </c>
      <c r="N48" s="96">
        <f>+I48*0.4</f>
        <v>22450.720000000001</v>
      </c>
      <c r="O48" s="96">
        <f t="shared" si="20"/>
        <v>22450.720000000001</v>
      </c>
      <c r="P48" s="129"/>
      <c r="Q48" s="98">
        <v>0.2</v>
      </c>
      <c r="R48" s="98">
        <v>0.4</v>
      </c>
      <c r="S48" s="98">
        <v>0.4</v>
      </c>
    </row>
    <row r="49" spans="1:22" ht="45">
      <c r="A49" s="152"/>
      <c r="B49" s="161"/>
      <c r="C49" s="121" t="s">
        <v>137</v>
      </c>
      <c r="D49" s="123" t="s">
        <v>133</v>
      </c>
      <c r="E49" s="122" t="s">
        <v>32</v>
      </c>
      <c r="F49" s="99" t="s">
        <v>149</v>
      </c>
      <c r="G49" s="99" t="s">
        <v>76</v>
      </c>
      <c r="H49" s="126"/>
      <c r="I49" s="127">
        <f t="shared" si="21"/>
        <v>100000</v>
      </c>
      <c r="J49" s="127">
        <v>100000</v>
      </c>
      <c r="K49" s="128"/>
      <c r="L49" s="127"/>
      <c r="M49" s="96">
        <f>+I49*0.2</f>
        <v>20000</v>
      </c>
      <c r="N49" s="96">
        <f>+I49*0.4</f>
        <v>40000</v>
      </c>
      <c r="O49" s="96">
        <f t="shared" si="20"/>
        <v>40000</v>
      </c>
      <c r="P49" s="129"/>
      <c r="Q49" s="98">
        <v>0.2</v>
      </c>
      <c r="R49" s="98">
        <v>0.4</v>
      </c>
      <c r="S49" s="98">
        <v>0.4</v>
      </c>
    </row>
    <row r="50" spans="1:22" ht="25.5" customHeight="1">
      <c r="A50" s="152"/>
      <c r="B50" s="156" t="s">
        <v>138</v>
      </c>
      <c r="C50" s="157"/>
      <c r="D50" s="157"/>
      <c r="E50" s="157"/>
      <c r="F50" s="157"/>
      <c r="G50" s="158"/>
      <c r="H50" s="84"/>
      <c r="I50" s="85">
        <f>SUM(I46:I49)</f>
        <v>380126.8</v>
      </c>
      <c r="J50" s="85">
        <f t="shared" ref="J50:O50" si="22">SUM(J46:J49)</f>
        <v>380126.8</v>
      </c>
      <c r="K50" s="85">
        <f t="shared" si="22"/>
        <v>0</v>
      </c>
      <c r="L50" s="85">
        <f t="shared" si="22"/>
        <v>0</v>
      </c>
      <c r="M50" s="85">
        <f t="shared" si="22"/>
        <v>76025.36</v>
      </c>
      <c r="N50" s="85">
        <f t="shared" si="22"/>
        <v>152050.72</v>
      </c>
      <c r="O50" s="85">
        <f t="shared" si="22"/>
        <v>152050.72</v>
      </c>
      <c r="P50" s="86"/>
      <c r="Q50" s="83"/>
      <c r="R50" s="83"/>
      <c r="S50" s="83"/>
      <c r="T50" s="141">
        <f>+M50+N50+O50</f>
        <v>380126.80000000005</v>
      </c>
    </row>
    <row r="51" spans="1:22" ht="48" customHeight="1">
      <c r="A51" s="152"/>
      <c r="B51" s="120" t="s">
        <v>55</v>
      </c>
      <c r="C51" s="130" t="s">
        <v>56</v>
      </c>
      <c r="D51" s="92" t="s">
        <v>37</v>
      </c>
      <c r="E51" s="92" t="s">
        <v>57</v>
      </c>
      <c r="F51" s="99" t="s">
        <v>151</v>
      </c>
      <c r="G51" s="99" t="s">
        <v>78</v>
      </c>
      <c r="H51" s="101"/>
      <c r="I51" s="96">
        <f t="shared" si="0"/>
        <v>80000</v>
      </c>
      <c r="J51" s="96">
        <v>80000</v>
      </c>
      <c r="K51" s="97"/>
      <c r="L51" s="96"/>
      <c r="M51" s="96">
        <f>+I51*0.2</f>
        <v>16000</v>
      </c>
      <c r="N51" s="96">
        <f>+I51*0.4</f>
        <v>32000</v>
      </c>
      <c r="O51" s="96">
        <f>+I51*0.4</f>
        <v>32000</v>
      </c>
      <c r="P51" s="98"/>
      <c r="Q51" s="98">
        <v>0.2</v>
      </c>
      <c r="R51" s="98">
        <v>0.4</v>
      </c>
      <c r="S51" s="98">
        <v>0.4</v>
      </c>
    </row>
    <row r="52" spans="1:22" ht="25.5" customHeight="1">
      <c r="A52" s="152"/>
      <c r="B52" s="156" t="s">
        <v>139</v>
      </c>
      <c r="C52" s="157"/>
      <c r="D52" s="157"/>
      <c r="E52" s="157"/>
      <c r="F52" s="157"/>
      <c r="G52" s="158"/>
      <c r="H52" s="72"/>
      <c r="I52" s="73">
        <f>SUM(I51)</f>
        <v>80000</v>
      </c>
      <c r="J52" s="73">
        <f t="shared" ref="J52:O52" si="23">SUM(J51)</f>
        <v>80000</v>
      </c>
      <c r="K52" s="73">
        <f t="shared" si="23"/>
        <v>0</v>
      </c>
      <c r="L52" s="73">
        <f t="shared" si="23"/>
        <v>0</v>
      </c>
      <c r="M52" s="73">
        <f t="shared" si="23"/>
        <v>16000</v>
      </c>
      <c r="N52" s="73">
        <f t="shared" si="23"/>
        <v>32000</v>
      </c>
      <c r="O52" s="73">
        <f t="shared" si="23"/>
        <v>32000</v>
      </c>
      <c r="P52" s="83"/>
      <c r="Q52" s="83"/>
      <c r="R52" s="83"/>
      <c r="S52" s="83"/>
    </row>
    <row r="53" spans="1:22" ht="24" customHeight="1">
      <c r="A53" s="142" t="s">
        <v>140</v>
      </c>
      <c r="B53" s="143"/>
      <c r="C53" s="143"/>
      <c r="D53" s="143"/>
      <c r="E53" s="143"/>
      <c r="F53" s="143"/>
      <c r="G53" s="144"/>
      <c r="H53" s="74"/>
      <c r="I53" s="75">
        <f>+I43+I45+I50+I52</f>
        <v>1335574.6200000001</v>
      </c>
      <c r="J53" s="75">
        <f t="shared" ref="J53:O53" si="24">+J43+J45+J50+J52</f>
        <v>1204098.6200000001</v>
      </c>
      <c r="K53" s="75">
        <f t="shared" si="24"/>
        <v>131476</v>
      </c>
      <c r="L53" s="75">
        <f t="shared" si="24"/>
        <v>0</v>
      </c>
      <c r="M53" s="75">
        <f t="shared" si="24"/>
        <v>112025.36</v>
      </c>
      <c r="N53" s="75">
        <f t="shared" si="24"/>
        <v>534229.848</v>
      </c>
      <c r="O53" s="75">
        <f t="shared" si="24"/>
        <v>689319.41200000001</v>
      </c>
      <c r="P53" s="74"/>
      <c r="Q53" s="74"/>
      <c r="R53" s="74"/>
      <c r="S53" s="74"/>
      <c r="T53" s="140">
        <f>+M53+N53+O53</f>
        <v>1335574.6200000001</v>
      </c>
    </row>
    <row r="54" spans="1:22" ht="169.5" customHeight="1">
      <c r="A54" s="87" t="s">
        <v>58</v>
      </c>
      <c r="B54" s="131" t="s">
        <v>59</v>
      </c>
      <c r="C54" s="132" t="s">
        <v>141</v>
      </c>
      <c r="D54" s="133" t="s">
        <v>133</v>
      </c>
      <c r="E54" s="107" t="s">
        <v>33</v>
      </c>
      <c r="F54" s="134" t="s">
        <v>142</v>
      </c>
      <c r="G54" s="135" t="s">
        <v>60</v>
      </c>
      <c r="H54" s="101"/>
      <c r="I54" s="96">
        <f t="shared" si="0"/>
        <v>54000</v>
      </c>
      <c r="J54" s="96">
        <v>54000</v>
      </c>
      <c r="K54" s="97"/>
      <c r="L54" s="96"/>
      <c r="M54" s="96">
        <f>+I54</f>
        <v>54000</v>
      </c>
      <c r="N54" s="96"/>
      <c r="O54" s="96"/>
      <c r="P54" s="98"/>
      <c r="Q54" s="98">
        <v>1</v>
      </c>
      <c r="R54" s="98"/>
      <c r="S54" s="98"/>
    </row>
    <row r="55" spans="1:22" ht="26.25" customHeight="1">
      <c r="A55" s="142" t="s">
        <v>140</v>
      </c>
      <c r="B55" s="143"/>
      <c r="C55" s="143"/>
      <c r="D55" s="143"/>
      <c r="E55" s="143"/>
      <c r="F55" s="143"/>
      <c r="G55" s="144"/>
      <c r="H55" s="88"/>
      <c r="I55" s="89">
        <f>+I54</f>
        <v>54000</v>
      </c>
      <c r="J55" s="89">
        <f t="shared" ref="J55" si="25">+J54</f>
        <v>54000</v>
      </c>
      <c r="K55" s="89">
        <f t="shared" ref="K55" si="26">+K54</f>
        <v>0</v>
      </c>
      <c r="L55" s="89">
        <f t="shared" ref="L55" si="27">+L54</f>
        <v>0</v>
      </c>
      <c r="M55" s="89">
        <f t="shared" ref="M55" si="28">+M54</f>
        <v>54000</v>
      </c>
      <c r="N55" s="89">
        <f t="shared" ref="N55" si="29">+N54</f>
        <v>0</v>
      </c>
      <c r="O55" s="89">
        <f t="shared" ref="O55" si="30">+O54</f>
        <v>0</v>
      </c>
      <c r="P55" s="89"/>
      <c r="Q55" s="89"/>
      <c r="R55" s="89"/>
      <c r="S55" s="89"/>
    </row>
    <row r="56" spans="1:22" ht="37.5" customHeight="1">
      <c r="A56" s="81" t="s">
        <v>119</v>
      </c>
      <c r="B56" s="130" t="s">
        <v>119</v>
      </c>
      <c r="C56" s="130"/>
      <c r="D56" s="130"/>
      <c r="E56" s="130"/>
      <c r="F56" s="103"/>
      <c r="G56" s="109"/>
      <c r="H56" s="101"/>
      <c r="I56" s="96">
        <f>+J56+K56</f>
        <v>427051.92</v>
      </c>
      <c r="J56" s="96">
        <v>427051.92</v>
      </c>
      <c r="K56" s="96"/>
      <c r="L56" s="96"/>
      <c r="M56" s="96">
        <f>+I56*0.4</f>
        <v>170820.76800000001</v>
      </c>
      <c r="N56" s="96">
        <f>+I56*0.4</f>
        <v>170820.76800000001</v>
      </c>
      <c r="O56" s="96">
        <f>+I56-M56-N56</f>
        <v>85410.383999999962</v>
      </c>
      <c r="P56" s="98">
        <f>+L56/$I$56</f>
        <v>0</v>
      </c>
      <c r="Q56" s="98">
        <f>+M56/$I$56</f>
        <v>0.4</v>
      </c>
      <c r="R56" s="98">
        <f>+N56/$I$56</f>
        <v>0.4</v>
      </c>
      <c r="S56" s="98">
        <f>+O56/$I$56</f>
        <v>0.19999999999999993</v>
      </c>
    </row>
    <row r="57" spans="1:22" ht="18.75">
      <c r="A57" s="142" t="s">
        <v>146</v>
      </c>
      <c r="B57" s="143"/>
      <c r="C57" s="143"/>
      <c r="D57" s="143"/>
      <c r="E57" s="143"/>
      <c r="F57" s="143"/>
      <c r="G57" s="144"/>
      <c r="H57" s="88"/>
      <c r="I57" s="89">
        <f t="shared" ref="I57:O57" si="31">SUM(I56)</f>
        <v>427051.92</v>
      </c>
      <c r="J57" s="89">
        <f t="shared" si="31"/>
        <v>427051.92</v>
      </c>
      <c r="K57" s="89">
        <f t="shared" si="31"/>
        <v>0</v>
      </c>
      <c r="L57" s="89">
        <f t="shared" si="31"/>
        <v>0</v>
      </c>
      <c r="M57" s="89">
        <f t="shared" si="31"/>
        <v>170820.76800000001</v>
      </c>
      <c r="N57" s="89">
        <f t="shared" si="31"/>
        <v>170820.76800000001</v>
      </c>
      <c r="O57" s="89">
        <f t="shared" si="31"/>
        <v>85410.383999999962</v>
      </c>
      <c r="P57" s="89"/>
      <c r="Q57" s="89"/>
      <c r="R57" s="89"/>
      <c r="S57" s="89"/>
      <c r="T57" s="140"/>
    </row>
    <row r="58" spans="1:22" ht="29.25" customHeight="1">
      <c r="A58" s="148" t="s">
        <v>145</v>
      </c>
      <c r="B58" s="149"/>
      <c r="C58" s="149"/>
      <c r="D58" s="149"/>
      <c r="E58" s="149"/>
      <c r="F58" s="149"/>
      <c r="G58" s="150"/>
      <c r="H58" s="15"/>
      <c r="I58" s="2">
        <f>I57+I53+I55</f>
        <v>1816626.54</v>
      </c>
      <c r="J58" s="2">
        <f t="shared" ref="J58:O58" si="32">J57+J53+J55</f>
        <v>1685150.54</v>
      </c>
      <c r="K58" s="2">
        <f t="shared" si="32"/>
        <v>131476</v>
      </c>
      <c r="L58" s="2">
        <f t="shared" si="32"/>
        <v>0</v>
      </c>
      <c r="M58" s="2">
        <f t="shared" si="32"/>
        <v>336846.12800000003</v>
      </c>
      <c r="N58" s="2">
        <f t="shared" si="32"/>
        <v>705050.61600000004</v>
      </c>
      <c r="O58" s="2">
        <f t="shared" si="32"/>
        <v>774729.79599999997</v>
      </c>
      <c r="P58" s="3"/>
      <c r="Q58" s="3"/>
      <c r="R58" s="3"/>
      <c r="S58" s="3"/>
    </row>
    <row r="59" spans="1:22">
      <c r="H59" s="16"/>
      <c r="I59" s="17"/>
      <c r="J59" s="11"/>
      <c r="K59" s="76">
        <f>+K58+J58</f>
        <v>1816626.54</v>
      </c>
      <c r="L59" s="77"/>
      <c r="M59" s="77"/>
      <c r="N59" s="77"/>
      <c r="O59" s="78">
        <f>+L58+M58+N58+O58</f>
        <v>1816626.54</v>
      </c>
    </row>
    <row r="60" spans="1:22">
      <c r="H60" s="16"/>
      <c r="I60" s="14"/>
      <c r="J60" s="11"/>
      <c r="L60" s="78"/>
      <c r="M60" s="78"/>
      <c r="N60" s="17"/>
      <c r="O60" s="79"/>
    </row>
    <row r="61" spans="1:22">
      <c r="H61" s="16"/>
      <c r="I61" s="11"/>
      <c r="J61" s="9"/>
      <c r="K61" s="80"/>
      <c r="L61" s="77"/>
      <c r="M61" s="77"/>
      <c r="N61" s="17"/>
      <c r="O61" s="77"/>
    </row>
    <row r="62" spans="1:22">
      <c r="A62" s="4"/>
      <c r="H62" s="16"/>
      <c r="I62" s="11"/>
      <c r="J62" s="9"/>
      <c r="K62" s="78"/>
    </row>
    <row r="63" spans="1:22">
      <c r="H63" s="16"/>
      <c r="J63" s="9"/>
      <c r="K63" s="10"/>
    </row>
    <row r="64" spans="1:22" s="8" customFormat="1">
      <c r="A64" s="1"/>
      <c r="B64" s="5"/>
      <c r="C64" s="5"/>
      <c r="D64" s="139"/>
      <c r="E64" s="1"/>
      <c r="F64" s="1"/>
      <c r="G64" s="1"/>
      <c r="H64" s="16"/>
      <c r="K64" s="10"/>
      <c r="T64" s="1"/>
      <c r="U64" s="1"/>
      <c r="V64" s="1"/>
    </row>
    <row r="65" spans="1:22" s="8" customFormat="1" ht="12">
      <c r="A65" s="1"/>
      <c r="B65" s="5"/>
      <c r="C65" s="5"/>
      <c r="D65" s="180" t="s">
        <v>150</v>
      </c>
      <c r="E65" s="180"/>
      <c r="F65" s="1"/>
      <c r="G65" s="1"/>
      <c r="H65" s="16"/>
      <c r="I65" s="10"/>
      <c r="T65" s="1"/>
      <c r="U65" s="1"/>
      <c r="V65" s="1"/>
    </row>
    <row r="66" spans="1:22" s="8" customFormat="1" ht="15.75">
      <c r="A66" s="1"/>
      <c r="B66" s="5"/>
      <c r="C66" s="5"/>
      <c r="D66" s="181" t="s">
        <v>62</v>
      </c>
      <c r="E66" s="181"/>
      <c r="F66" s="1"/>
      <c r="G66" s="1"/>
      <c r="H66" s="7"/>
      <c r="T66" s="1"/>
      <c r="U66" s="1"/>
      <c r="V66" s="1"/>
    </row>
  </sheetData>
  <mergeCells count="24">
    <mergeCell ref="B46:B49"/>
    <mergeCell ref="B52:G52"/>
    <mergeCell ref="B45:G45"/>
    <mergeCell ref="F3:F4"/>
    <mergeCell ref="A1:S1"/>
    <mergeCell ref="A2:S2"/>
    <mergeCell ref="H3:I3"/>
    <mergeCell ref="A3:A4"/>
    <mergeCell ref="B3:B4"/>
    <mergeCell ref="C3:C4"/>
    <mergeCell ref="D3:D4"/>
    <mergeCell ref="E3:E4"/>
    <mergeCell ref="L3:O3"/>
    <mergeCell ref="G3:G4"/>
    <mergeCell ref="B5:B42"/>
    <mergeCell ref="A5:A52"/>
    <mergeCell ref="B43:G43"/>
    <mergeCell ref="B50:G50"/>
    <mergeCell ref="D65:E65"/>
    <mergeCell ref="D66:E66"/>
    <mergeCell ref="A53:G53"/>
    <mergeCell ref="A55:G55"/>
    <mergeCell ref="A57:G57"/>
    <mergeCell ref="A58:G58"/>
  </mergeCells>
  <printOptions horizontalCentered="1"/>
  <pageMargins left="0.27559055118110237" right="7.874015748031496E-2" top="0.27559055118110237" bottom="0.19685039370078741" header="0.11811023622047245" footer="0.11811023622047245"/>
  <pageSetup paperSize="8" scale="80" fitToHeight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B8" sqref="B8"/>
    </sheetView>
  </sheetViews>
  <sheetFormatPr baseColWidth="10" defaultRowHeight="15"/>
  <cols>
    <col min="1" max="1" width="39.42578125" customWidth="1"/>
    <col min="2" max="2" width="13.5703125" customWidth="1"/>
    <col min="3" max="3" width="12.140625" customWidth="1"/>
    <col min="4" max="4" width="14.7109375" bestFit="1" customWidth="1"/>
    <col min="5" max="5" width="12.42578125" customWidth="1"/>
    <col min="6" max="6" width="12.28515625" customWidth="1"/>
    <col min="7" max="7" width="12.5703125" customWidth="1"/>
    <col min="8" max="8" width="13.7109375" customWidth="1"/>
    <col min="9" max="9" width="13" bestFit="1" customWidth="1"/>
  </cols>
  <sheetData>
    <row r="1" spans="1:10" ht="20.25">
      <c r="A1" s="187" t="s">
        <v>86</v>
      </c>
      <c r="B1" s="187"/>
      <c r="C1" s="187"/>
      <c r="D1" s="187"/>
      <c r="E1" s="187"/>
      <c r="F1" s="187"/>
      <c r="G1" s="187"/>
      <c r="H1" s="187"/>
    </row>
    <row r="2" spans="1:10">
      <c r="A2" s="188" t="s">
        <v>87</v>
      </c>
      <c r="B2" s="188"/>
      <c r="C2" s="188"/>
      <c r="D2" s="188"/>
      <c r="E2" s="188"/>
      <c r="F2" s="188"/>
      <c r="G2" s="188"/>
      <c r="H2" s="188"/>
    </row>
    <row r="3" spans="1:10">
      <c r="A3" s="189" t="s">
        <v>96</v>
      </c>
      <c r="B3" s="189"/>
      <c r="C3" s="33"/>
      <c r="D3" s="34"/>
      <c r="E3" s="32"/>
      <c r="F3" s="32"/>
      <c r="G3" s="32"/>
      <c r="H3" s="32"/>
    </row>
    <row r="4" spans="1:10">
      <c r="A4" s="185" t="s">
        <v>1</v>
      </c>
      <c r="B4" s="182" t="s">
        <v>94</v>
      </c>
      <c r="C4" s="183"/>
      <c r="D4" s="183"/>
      <c r="E4" s="183"/>
      <c r="F4" s="183"/>
      <c r="G4" s="184"/>
      <c r="H4" s="185" t="s">
        <v>95</v>
      </c>
    </row>
    <row r="5" spans="1:10">
      <c r="A5" s="186"/>
      <c r="B5" s="35" t="s">
        <v>88</v>
      </c>
      <c r="C5" s="35" t="s">
        <v>89</v>
      </c>
      <c r="D5" s="35" t="s">
        <v>90</v>
      </c>
      <c r="E5" s="35" t="s">
        <v>91</v>
      </c>
      <c r="F5" s="35" t="s">
        <v>92</v>
      </c>
      <c r="G5" s="35" t="s">
        <v>93</v>
      </c>
      <c r="H5" s="186"/>
    </row>
    <row r="6" spans="1:10">
      <c r="A6" s="36" t="e">
        <f>+'POA 2018FINAL'!#REF!</f>
        <v>#REF!</v>
      </c>
      <c r="B6" s="38" t="e">
        <f>+'POA 2018FINAL'!#REF!/6</f>
        <v>#REF!</v>
      </c>
      <c r="C6" s="38" t="e">
        <f>+'POA 2018FINAL'!#REF!/6</f>
        <v>#REF!</v>
      </c>
      <c r="D6" s="38" t="e">
        <f>+'POA 2018FINAL'!#REF!/6</f>
        <v>#REF!</v>
      </c>
      <c r="E6" s="38" t="e">
        <f>+'POA 2018FINAL'!#REF!/6</f>
        <v>#REF!</v>
      </c>
      <c r="F6" s="38" t="e">
        <f>+'POA 2018FINAL'!#REF!/6</f>
        <v>#REF!</v>
      </c>
      <c r="G6" s="38" t="e">
        <f>+'POA 2018FINAL'!#REF!/6</f>
        <v>#REF!</v>
      </c>
      <c r="H6" s="38" t="e">
        <f t="shared" ref="H6:H26" si="0">SUM(B6:G6)</f>
        <v>#REF!</v>
      </c>
    </row>
    <row r="7" spans="1:10">
      <c r="A7" s="37" t="e">
        <f>+'POA 2018FINAL'!#REF!</f>
        <v>#REF!</v>
      </c>
      <c r="B7" s="38" t="e">
        <f>+'POA 2018FINAL'!#REF!</f>
        <v>#REF!</v>
      </c>
      <c r="C7" s="38" t="e">
        <f>+'POA 2018FINAL'!#REF!</f>
        <v>#REF!</v>
      </c>
      <c r="D7" s="38" t="e">
        <f>+'POA 2018FINAL'!#REF!</f>
        <v>#REF!</v>
      </c>
      <c r="E7" s="38">
        <v>0</v>
      </c>
      <c r="F7" s="38">
        <v>0</v>
      </c>
      <c r="G7" s="38" t="e">
        <f>+'POA 2018FINAL'!#REF!</f>
        <v>#REF!</v>
      </c>
      <c r="H7" s="38" t="e">
        <f t="shared" si="0"/>
        <v>#REF!</v>
      </c>
    </row>
    <row r="8" spans="1:10" ht="30">
      <c r="A8" s="36" t="e">
        <f>+'POA 2018FINAL'!#REF!</f>
        <v>#REF!</v>
      </c>
      <c r="B8" s="38" t="e">
        <f>+'POA 2018FINAL'!#REF!</f>
        <v>#REF!</v>
      </c>
      <c r="C8" s="38"/>
      <c r="D8" s="38"/>
      <c r="E8" s="38"/>
      <c r="F8" s="38" t="e">
        <f>+'POA 2018FINAL'!#REF!</f>
        <v>#REF!</v>
      </c>
      <c r="G8" s="38"/>
      <c r="H8" s="38" t="e">
        <f t="shared" si="0"/>
        <v>#REF!</v>
      </c>
      <c r="I8" s="70" t="s">
        <v>121</v>
      </c>
    </row>
    <row r="9" spans="1:10">
      <c r="A9" s="36" t="e">
        <f>+'POA 2018FINAL'!#REF!</f>
        <v>#REF!</v>
      </c>
      <c r="B9" s="38"/>
      <c r="C9" s="38"/>
      <c r="D9" s="38"/>
      <c r="E9" s="38"/>
      <c r="F9" s="38"/>
      <c r="G9" s="38"/>
      <c r="H9" s="38">
        <f t="shared" si="0"/>
        <v>0</v>
      </c>
    </row>
    <row r="10" spans="1:10">
      <c r="A10" s="36" t="str">
        <f>+'POA 2018FINAL'!B5</f>
        <v>MANTENIMIENTO RUTINARIO</v>
      </c>
      <c r="B10" s="38">
        <f>+'POA 2018FINAL'!I15</f>
        <v>203880</v>
      </c>
      <c r="C10" s="38">
        <f>+'POA 2018FINAL'!I18</f>
        <v>68000</v>
      </c>
      <c r="D10" s="38">
        <f>+'POA 2018FINAL'!I26</f>
        <v>156567.82</v>
      </c>
      <c r="E10" s="38">
        <f>+'POA 2018FINAL'!I33</f>
        <v>143000</v>
      </c>
      <c r="F10" s="38">
        <f>+'POA 2018FINAL'!I37</f>
        <v>68100</v>
      </c>
      <c r="G10" s="38">
        <f>+'POA 2018FINAL'!I42</f>
        <v>135900</v>
      </c>
      <c r="H10" s="38">
        <f t="shared" si="0"/>
        <v>775447.82000000007</v>
      </c>
      <c r="I10" s="66">
        <v>590480</v>
      </c>
      <c r="J10" s="67">
        <f>+I10*100/H10</f>
        <v>76.146967567721049</v>
      </c>
    </row>
    <row r="11" spans="1:10">
      <c r="A11" s="36" t="str">
        <f>+'POA 2018FINAL'!B44</f>
        <v>MANTENIMIENTO PERIODICO</v>
      </c>
      <c r="B11" s="38">
        <f>+('POA 2018FINAL'!I45-18000)/5</f>
        <v>16400</v>
      </c>
      <c r="C11" s="38">
        <f>+('POA 2018FINAL'!I45-18000)/5</f>
        <v>16400</v>
      </c>
      <c r="D11" s="38">
        <f>+('POA 2018FINAL'!I45-18000)/5</f>
        <v>16400</v>
      </c>
      <c r="E11" s="38">
        <f>+('POA 2018FINAL'!I45-18000)/5</f>
        <v>16400</v>
      </c>
      <c r="F11" s="38">
        <f>+('POA 2018FINAL'!I45-18000)/5</f>
        <v>16400</v>
      </c>
      <c r="G11" s="38">
        <v>18000</v>
      </c>
      <c r="H11" s="38">
        <f t="shared" si="0"/>
        <v>100000</v>
      </c>
    </row>
    <row r="12" spans="1:10" ht="30">
      <c r="A12" s="37" t="str">
        <f>+'POA 2018FINAL'!B46</f>
        <v>MANTENIMIENTO DE TRATAMIENTO SUPERFICIAL BITUMINOSO</v>
      </c>
      <c r="B12" s="38" t="e">
        <f>+'POA 2018FINAL'!#REF!</f>
        <v>#REF!</v>
      </c>
      <c r="C12" s="38"/>
      <c r="D12" s="38">
        <f>+'POA 2018FINAL'!I50</f>
        <v>380126.8</v>
      </c>
      <c r="E12" s="38"/>
      <c r="F12" s="38" t="e">
        <f>+'POA 2018FINAL'!#REF!</f>
        <v>#REF!</v>
      </c>
      <c r="G12" s="38" t="e">
        <f>+'POA 2018FINAL'!#REF!</f>
        <v>#REF!</v>
      </c>
      <c r="H12" s="38" t="e">
        <f t="shared" si="0"/>
        <v>#REF!</v>
      </c>
    </row>
    <row r="13" spans="1:10">
      <c r="A13" s="37" t="e">
        <f>+'POA 2018FINAL'!#REF!</f>
        <v>#REF!</v>
      </c>
      <c r="B13" s="38" t="e">
        <f>+'POA 2018FINAL'!#REF!/6</f>
        <v>#REF!</v>
      </c>
      <c r="C13" s="38" t="e">
        <f>+'POA 2018FINAL'!#REF!/6</f>
        <v>#REF!</v>
      </c>
      <c r="D13" s="38" t="e">
        <f>+'POA 2018FINAL'!#REF!/6</f>
        <v>#REF!</v>
      </c>
      <c r="E13" s="38" t="e">
        <f>+'POA 2018FINAL'!#REF!/6</f>
        <v>#REF!</v>
      </c>
      <c r="F13" s="38" t="e">
        <f>+'POA 2018FINAL'!#REF!/6</f>
        <v>#REF!</v>
      </c>
      <c r="G13" s="38" t="e">
        <f>+'POA 2018FINAL'!#REF!/6</f>
        <v>#REF!</v>
      </c>
      <c r="H13" s="38" t="e">
        <f t="shared" si="0"/>
        <v>#REF!</v>
      </c>
    </row>
    <row r="14" spans="1:10">
      <c r="A14" s="36" t="str">
        <f>+'POA 2018FINAL'!B51</f>
        <v>MANTENIMIENTO DE PUENTES</v>
      </c>
      <c r="B14" s="38">
        <f>+'POA 2018FINAL'!I52/2</f>
        <v>40000</v>
      </c>
      <c r="C14" s="38"/>
      <c r="D14" s="38"/>
      <c r="E14" s="38"/>
      <c r="F14" s="38"/>
      <c r="G14" s="38">
        <f>+'POA 2018FINAL'!I52/2</f>
        <v>40000</v>
      </c>
      <c r="H14" s="38">
        <f t="shared" si="0"/>
        <v>80000</v>
      </c>
    </row>
    <row r="15" spans="1:10" ht="30">
      <c r="A15" s="37" t="str">
        <f>+'POA 2018FINAL'!B54</f>
        <v>DOBLE TRATAMIENTO SUPERFICIAL BITUMINOSO</v>
      </c>
      <c r="B15" s="38" t="e">
        <f>+'POA 2018FINAL'!#REF!</f>
        <v>#REF!</v>
      </c>
      <c r="C15" s="38"/>
      <c r="D15" s="38"/>
      <c r="E15" s="38" t="e">
        <f>+'POA 2018FINAL'!#REF!</f>
        <v>#REF!</v>
      </c>
      <c r="F15" s="38"/>
      <c r="G15" s="38"/>
      <c r="H15" s="38" t="e">
        <f t="shared" si="0"/>
        <v>#REF!</v>
      </c>
    </row>
    <row r="16" spans="1:10">
      <c r="A16" s="37" t="e">
        <f>+'POA 2018FINAL'!#REF!</f>
        <v>#REF!</v>
      </c>
      <c r="B16" s="38"/>
      <c r="C16" s="38"/>
      <c r="D16" s="38"/>
      <c r="E16" s="38"/>
      <c r="F16" s="38" t="e">
        <f>+'POA 2018FINAL'!#REF!</f>
        <v>#REF!</v>
      </c>
      <c r="G16" s="38"/>
      <c r="H16" s="38" t="e">
        <f t="shared" si="0"/>
        <v>#REF!</v>
      </c>
    </row>
    <row r="17" spans="1:10">
      <c r="A17" s="37" t="e">
        <f>+'POA 2018FINAL'!#REF!</f>
        <v>#REF!</v>
      </c>
      <c r="B17" s="38" t="e">
        <f>+'POA 2018FINAL'!#REF!/6</f>
        <v>#REF!</v>
      </c>
      <c r="C17" s="38" t="e">
        <f>+'POA 2018FINAL'!#REF!/6</f>
        <v>#REF!</v>
      </c>
      <c r="D17" s="38" t="e">
        <f>+'POA 2018FINAL'!#REF!/6</f>
        <v>#REF!</v>
      </c>
      <c r="E17" s="38" t="e">
        <f>+'POA 2018FINAL'!#REF!/6</f>
        <v>#REF!</v>
      </c>
      <c r="F17" s="38" t="e">
        <f>+'POA 2018FINAL'!#REF!/6</f>
        <v>#REF!</v>
      </c>
      <c r="G17" s="38" t="e">
        <f>+'POA 2018FINAL'!#REF!/6</f>
        <v>#REF!</v>
      </c>
      <c r="H17" s="38" t="e">
        <f t="shared" si="0"/>
        <v>#REF!</v>
      </c>
      <c r="I17" s="68" t="e">
        <f>+H17</f>
        <v>#REF!</v>
      </c>
    </row>
    <row r="18" spans="1:10" ht="30">
      <c r="A18" s="37" t="str">
        <f>+'POA 2018FINAL'!B56</f>
        <v>CONVENIOS  DE COOPERACIÓN CON GADS</v>
      </c>
      <c r="B18" s="38">
        <f>+'[1]OBRA PUBLICA'!$F$79</f>
        <v>70000</v>
      </c>
      <c r="C18" s="38">
        <f>+'[1]OBRA PUBLICA'!$G$79</f>
        <v>15000</v>
      </c>
      <c r="D18" s="38">
        <f>+'[1]OBRA PUBLICA'!$H$79</f>
        <v>40000</v>
      </c>
      <c r="E18" s="38">
        <f>+'[1]OBRA PUBLICA'!$I$79</f>
        <v>40000</v>
      </c>
      <c r="F18" s="38">
        <f>+'[1]OBRA PUBLICA'!$J$79</f>
        <v>25000</v>
      </c>
      <c r="G18" s="38">
        <f>+'[1]OBRA PUBLICA'!$K$79</f>
        <v>25000</v>
      </c>
      <c r="H18" s="38">
        <f t="shared" si="0"/>
        <v>215000</v>
      </c>
      <c r="I18" s="68">
        <f>+H18</f>
        <v>215000</v>
      </c>
    </row>
    <row r="19" spans="1:10">
      <c r="A19" s="37" t="e">
        <f>+'POA 2018FINAL'!#REF!</f>
        <v>#REF!</v>
      </c>
      <c r="B19" s="38">
        <f>+'[1]OBRA PUBLICA'!$F$82</f>
        <v>4000</v>
      </c>
      <c r="C19" s="38">
        <f>+'[1]OBRA PUBLICA'!$G$82</f>
        <v>1000</v>
      </c>
      <c r="D19" s="38">
        <f>+'[1]OBRA PUBLICA'!$H$82</f>
        <v>2000</v>
      </c>
      <c r="E19" s="38">
        <f>+'[1]OBRA PUBLICA'!$I$82</f>
        <v>5000</v>
      </c>
      <c r="F19" s="38">
        <f>+'[1]OBRA PUBLICA'!$J$82</f>
        <v>11500</v>
      </c>
      <c r="G19" s="38">
        <f>+'[1]OBRA PUBLICA'!$K$82</f>
        <v>4500</v>
      </c>
      <c r="H19" s="38">
        <f t="shared" si="0"/>
        <v>28000</v>
      </c>
      <c r="I19" s="68"/>
    </row>
    <row r="20" spans="1:10">
      <c r="A20" s="37" t="e">
        <f>+'POA 2018FINAL'!#REF!</f>
        <v>#REF!</v>
      </c>
      <c r="B20" s="38" t="e">
        <f>+'POA 2018FINAL'!#REF!</f>
        <v>#REF!</v>
      </c>
      <c r="C20" s="38"/>
      <c r="D20" s="38"/>
      <c r="E20" s="38"/>
      <c r="F20" s="38"/>
      <c r="G20" s="38"/>
      <c r="H20" s="38" t="e">
        <f t="shared" si="0"/>
        <v>#REF!</v>
      </c>
      <c r="I20" s="69" t="e">
        <f>SUM(I10:I19)</f>
        <v>#REF!</v>
      </c>
      <c r="J20" s="71" t="s">
        <v>122</v>
      </c>
    </row>
    <row r="21" spans="1:10">
      <c r="A21" s="37" t="e">
        <f>+'POA 2018FINAL'!#REF!</f>
        <v>#REF!</v>
      </c>
      <c r="B21" s="38" t="e">
        <f>+'POA 2018FINAL'!#REF!</f>
        <v>#REF!</v>
      </c>
      <c r="C21" s="38"/>
      <c r="D21" s="38"/>
      <c r="E21" s="38"/>
      <c r="F21" s="38"/>
      <c r="G21" s="38"/>
      <c r="H21" s="38" t="e">
        <f t="shared" si="0"/>
        <v>#REF!</v>
      </c>
    </row>
    <row r="22" spans="1:10">
      <c r="A22" s="37" t="e">
        <f>+'POA 2018FINAL'!#REF!</f>
        <v>#REF!</v>
      </c>
      <c r="B22" s="38"/>
      <c r="C22" s="38"/>
      <c r="D22" s="38"/>
      <c r="E22" s="38"/>
      <c r="F22" s="38"/>
      <c r="G22" s="38" t="e">
        <f>+'POA 2018FINAL'!#REF!</f>
        <v>#REF!</v>
      </c>
      <c r="H22" s="38" t="e">
        <f t="shared" si="0"/>
        <v>#REF!</v>
      </c>
    </row>
    <row r="23" spans="1:10">
      <c r="A23" s="37" t="e">
        <f>+'POA 2018FINAL'!#REF!</f>
        <v>#REF!</v>
      </c>
      <c r="B23" s="38"/>
      <c r="C23" s="38"/>
      <c r="D23" s="38"/>
      <c r="E23" s="38"/>
      <c r="F23" s="38"/>
      <c r="G23" s="38" t="e">
        <f>+'POA 2018FINAL'!#REF!</f>
        <v>#REF!</v>
      </c>
      <c r="H23" s="38" t="e">
        <f t="shared" si="0"/>
        <v>#REF!</v>
      </c>
    </row>
    <row r="24" spans="1:10">
      <c r="A24" s="37" t="e">
        <f>+'POA 2018FINAL'!#REF!</f>
        <v>#REF!</v>
      </c>
      <c r="B24" s="38"/>
      <c r="C24" s="38"/>
      <c r="D24" s="38"/>
      <c r="E24" s="38" t="e">
        <f>+'POA 2018FINAL'!#REF!</f>
        <v>#REF!</v>
      </c>
      <c r="F24" s="38"/>
      <c r="G24" s="38"/>
      <c r="H24" s="38" t="e">
        <f t="shared" si="0"/>
        <v>#REF!</v>
      </c>
    </row>
    <row r="25" spans="1:10">
      <c r="A25" s="37" t="e">
        <f>+'POA 2018FINAL'!#REF!</f>
        <v>#REF!</v>
      </c>
      <c r="B25" s="38"/>
      <c r="C25" s="38"/>
      <c r="D25" s="38"/>
      <c r="E25" s="38" t="e">
        <f>+'POA 2018FINAL'!#REF!</f>
        <v>#REF!</v>
      </c>
      <c r="F25" s="38"/>
      <c r="G25" s="38"/>
      <c r="H25" s="38" t="e">
        <f t="shared" si="0"/>
        <v>#REF!</v>
      </c>
    </row>
    <row r="26" spans="1:10">
      <c r="A26" s="37" t="e">
        <f>+'POA 2018FINAL'!#REF!</f>
        <v>#REF!</v>
      </c>
      <c r="B26" s="38">
        <f>+'[1]OBRA PUBLICA'!$F$94</f>
        <v>37000</v>
      </c>
      <c r="C26" s="38">
        <f>+'[1]OBRA PUBLICA'!$G$94</f>
        <v>15000</v>
      </c>
      <c r="D26" s="38">
        <f>+'[1]OBRA PUBLICA'!$H$94</f>
        <v>24000</v>
      </c>
      <c r="E26" s="38">
        <f>+'[1]OBRA PUBLICA'!$I$94</f>
        <v>28000</v>
      </c>
      <c r="F26" s="38">
        <f>+'[1]OBRA PUBLICA'!$J$94</f>
        <v>13000</v>
      </c>
      <c r="G26" s="38">
        <f>+'[1]OBRA PUBLICA'!$K$94</f>
        <v>27000</v>
      </c>
      <c r="H26" s="38">
        <f t="shared" si="0"/>
        <v>144000</v>
      </c>
    </row>
    <row r="27" spans="1:10">
      <c r="A27" s="37"/>
      <c r="B27" s="38"/>
      <c r="C27" s="38"/>
      <c r="D27" s="38"/>
      <c r="E27" s="38"/>
      <c r="F27" s="38"/>
      <c r="G27" s="38"/>
      <c r="H27" s="38"/>
    </row>
    <row r="28" spans="1:10">
      <c r="A28" s="35" t="s">
        <v>95</v>
      </c>
      <c r="B28" s="39" t="e">
        <f>SUM(B6:B27)</f>
        <v>#REF!</v>
      </c>
      <c r="C28" s="39" t="e">
        <f t="shared" ref="C28:H28" si="1">SUM(C6:C27)</f>
        <v>#REF!</v>
      </c>
      <c r="D28" s="39" t="e">
        <f t="shared" si="1"/>
        <v>#REF!</v>
      </c>
      <c r="E28" s="39" t="e">
        <f t="shared" si="1"/>
        <v>#REF!</v>
      </c>
      <c r="F28" s="39" t="e">
        <f t="shared" si="1"/>
        <v>#REF!</v>
      </c>
      <c r="G28" s="39" t="e">
        <f t="shared" si="1"/>
        <v>#REF!</v>
      </c>
      <c r="H28" s="39" t="e">
        <f t="shared" si="1"/>
        <v>#REF!</v>
      </c>
    </row>
    <row r="29" spans="1:10">
      <c r="A29" s="35" t="s">
        <v>97</v>
      </c>
      <c r="B29" s="40">
        <v>565427.65</v>
      </c>
      <c r="C29" s="40">
        <v>99447.07</v>
      </c>
      <c r="D29" s="40">
        <v>321071.98</v>
      </c>
      <c r="E29" s="40">
        <v>315389.28999999998</v>
      </c>
      <c r="F29" s="40">
        <v>190370.11</v>
      </c>
      <c r="G29" s="40">
        <v>201735.51</v>
      </c>
      <c r="H29" s="40">
        <f>SUM(B29:G29)</f>
        <v>1693441.61</v>
      </c>
    </row>
    <row r="30" spans="1:10">
      <c r="A30" s="32"/>
      <c r="B30" s="65" t="e">
        <f t="shared" ref="B30:G30" si="2">+B28*100/$H$28</f>
        <v>#REF!</v>
      </c>
      <c r="C30" s="65" t="e">
        <f t="shared" si="2"/>
        <v>#REF!</v>
      </c>
      <c r="D30" s="65" t="e">
        <f t="shared" si="2"/>
        <v>#REF!</v>
      </c>
      <c r="E30" s="65" t="e">
        <f t="shared" si="2"/>
        <v>#REF!</v>
      </c>
      <c r="F30" s="65" t="e">
        <f t="shared" si="2"/>
        <v>#REF!</v>
      </c>
      <c r="G30" s="65" t="e">
        <f t="shared" si="2"/>
        <v>#REF!</v>
      </c>
      <c r="H30" s="65" t="e">
        <f>SUM(B30:G30)</f>
        <v>#REF!</v>
      </c>
    </row>
  </sheetData>
  <mergeCells count="6">
    <mergeCell ref="B4:G4"/>
    <mergeCell ref="H4:H5"/>
    <mergeCell ref="A4:A5"/>
    <mergeCell ref="A1:H1"/>
    <mergeCell ref="A2:H2"/>
    <mergeCell ref="A3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70"/>
  <sheetViews>
    <sheetView workbookViewId="0">
      <selection activeCell="B8" sqref="B8"/>
    </sheetView>
  </sheetViews>
  <sheetFormatPr baseColWidth="10" defaultRowHeight="15"/>
  <cols>
    <col min="1" max="1" width="39.42578125" customWidth="1"/>
    <col min="2" max="2" width="13.5703125" customWidth="1"/>
    <col min="3" max="3" width="5" customWidth="1"/>
    <col min="4" max="4" width="12.7109375" customWidth="1"/>
    <col min="5" max="5" width="5.140625" customWidth="1"/>
    <col min="6" max="6" width="14.7109375" bestFit="1" customWidth="1"/>
    <col min="7" max="7" width="5" customWidth="1"/>
    <col min="8" max="8" width="12.85546875" customWidth="1"/>
    <col min="9" max="9" width="5.140625" customWidth="1"/>
    <col min="10" max="10" width="12.85546875" customWidth="1"/>
    <col min="11" max="11" width="6.140625" customWidth="1"/>
    <col min="12" max="12" width="12.5703125" customWidth="1"/>
    <col min="13" max="13" width="5.140625" customWidth="1"/>
  </cols>
  <sheetData>
    <row r="1" spans="1:13" ht="20.25">
      <c r="A1" s="187" t="s">
        <v>86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>
      <c r="A2" s="188" t="s">
        <v>87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>
      <c r="A3" s="189" t="s">
        <v>96</v>
      </c>
      <c r="B3" s="189"/>
      <c r="C3" s="41"/>
      <c r="D3" s="33"/>
      <c r="E3" s="33"/>
      <c r="F3" s="34"/>
      <c r="G3" s="34"/>
      <c r="H3" s="32"/>
      <c r="I3" s="32"/>
      <c r="J3" s="32"/>
      <c r="K3" s="32"/>
      <c r="L3" s="32"/>
      <c r="M3" s="32"/>
    </row>
    <row r="4" spans="1:13">
      <c r="A4" s="185" t="s">
        <v>1</v>
      </c>
      <c r="B4" s="192" t="s">
        <v>94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4"/>
    </row>
    <row r="5" spans="1:13">
      <c r="A5" s="186"/>
      <c r="B5" s="35" t="s">
        <v>88</v>
      </c>
      <c r="C5" s="35" t="s">
        <v>98</v>
      </c>
      <c r="D5" s="35" t="s">
        <v>89</v>
      </c>
      <c r="E5" s="35" t="s">
        <v>98</v>
      </c>
      <c r="F5" s="35" t="s">
        <v>90</v>
      </c>
      <c r="G5" s="35" t="s">
        <v>98</v>
      </c>
      <c r="H5" s="35" t="s">
        <v>91</v>
      </c>
      <c r="I5" s="35" t="s">
        <v>98</v>
      </c>
      <c r="J5" s="35" t="s">
        <v>92</v>
      </c>
      <c r="K5" s="35" t="s">
        <v>98</v>
      </c>
      <c r="L5" s="35" t="s">
        <v>93</v>
      </c>
      <c r="M5" s="35" t="s">
        <v>98</v>
      </c>
    </row>
    <row r="6" spans="1:13" ht="15.75">
      <c r="A6" s="36" t="e">
        <f>+'POA 2018FINAL'!#REF!</f>
        <v>#REF!</v>
      </c>
      <c r="B6" s="38"/>
      <c r="C6" s="43"/>
      <c r="D6" s="38"/>
      <c r="E6" s="43"/>
      <c r="F6" s="38"/>
      <c r="G6" s="42"/>
      <c r="H6" s="38"/>
      <c r="I6" s="42"/>
      <c r="J6" s="38"/>
      <c r="K6" s="42"/>
      <c r="L6" s="38"/>
      <c r="M6" s="42"/>
    </row>
    <row r="7" spans="1:13" ht="15.75">
      <c r="A7" s="36" t="e">
        <f>+'POA 2018FINAL'!#REF!</f>
        <v>#REF!</v>
      </c>
      <c r="B7" s="38"/>
      <c r="C7" s="43"/>
      <c r="D7" s="38"/>
      <c r="E7" s="43">
        <v>4</v>
      </c>
      <c r="F7" s="38"/>
      <c r="G7" s="42">
        <v>7</v>
      </c>
      <c r="H7" s="38"/>
      <c r="I7" s="42">
        <v>7</v>
      </c>
      <c r="J7" s="38"/>
      <c r="K7" s="42">
        <v>6</v>
      </c>
      <c r="L7" s="38"/>
      <c r="M7" s="42">
        <v>5</v>
      </c>
    </row>
    <row r="8" spans="1:13" ht="15.75">
      <c r="A8" s="37" t="e">
        <f>+'POA 2018FINAL'!#REF!</f>
        <v>#REF!</v>
      </c>
      <c r="B8" s="38" t="e">
        <f>+'POA 2018FINAL'!#REF!</f>
        <v>#REF!</v>
      </c>
      <c r="C8" s="44">
        <v>3</v>
      </c>
      <c r="D8" s="38" t="e">
        <f>+'POA 2018FINAL'!#REF!</f>
        <v>#REF!</v>
      </c>
      <c r="E8" s="43"/>
      <c r="F8" s="38" t="e">
        <f>+'POA 2018FINAL'!#REF!</f>
        <v>#REF!</v>
      </c>
      <c r="G8" s="42">
        <v>2</v>
      </c>
      <c r="H8" s="38">
        <v>0</v>
      </c>
      <c r="I8" s="42">
        <v>4</v>
      </c>
      <c r="J8" s="38">
        <v>0</v>
      </c>
      <c r="K8" s="42">
        <v>3</v>
      </c>
      <c r="L8" s="38" t="e">
        <f>+'POA 2018FINAL'!#REF!</f>
        <v>#REF!</v>
      </c>
      <c r="M8" s="42">
        <v>1</v>
      </c>
    </row>
    <row r="9" spans="1:13" ht="15.75">
      <c r="A9" s="36" t="e">
        <f>+'POA 2018FINAL'!#REF!</f>
        <v>#REF!</v>
      </c>
      <c r="B9" s="38"/>
      <c r="C9" s="44">
        <v>5</v>
      </c>
      <c r="D9" s="38"/>
      <c r="E9" s="43"/>
      <c r="F9" s="38"/>
      <c r="G9" s="42">
        <v>6</v>
      </c>
      <c r="H9" s="38"/>
      <c r="I9" s="42">
        <v>6</v>
      </c>
      <c r="J9" s="38" t="e">
        <f>+'POA 2018FINAL'!#REF!</f>
        <v>#REF!</v>
      </c>
      <c r="K9" s="42">
        <v>7</v>
      </c>
      <c r="L9" s="38">
        <v>0</v>
      </c>
      <c r="M9" s="42">
        <v>6</v>
      </c>
    </row>
    <row r="10" spans="1:13" ht="15.75">
      <c r="A10" s="36" t="e">
        <f>+'POA 2018FINAL'!#REF!</f>
        <v>#REF!</v>
      </c>
      <c r="B10" s="38"/>
      <c r="C10" s="44">
        <v>4</v>
      </c>
      <c r="D10" s="38"/>
      <c r="E10" s="44">
        <v>2</v>
      </c>
      <c r="F10" s="38"/>
      <c r="G10" s="42">
        <v>5</v>
      </c>
      <c r="H10" s="38"/>
      <c r="I10" s="42">
        <v>5</v>
      </c>
      <c r="J10" s="38"/>
      <c r="K10" s="42">
        <v>5</v>
      </c>
      <c r="L10" s="38"/>
      <c r="M10" s="42">
        <v>2</v>
      </c>
    </row>
    <row r="11" spans="1:13">
      <c r="A11" s="36" t="str">
        <f>+'POA 2018FINAL'!B5</f>
        <v>MANTENIMIENTO RUTINARIO</v>
      </c>
      <c r="B11" s="38">
        <f>+'POA 2018FINAL'!I15</f>
        <v>203880</v>
      </c>
      <c r="C11" s="190">
        <v>2</v>
      </c>
      <c r="D11" s="38">
        <f>+'POA 2018FINAL'!I18</f>
        <v>68000</v>
      </c>
      <c r="E11" s="190">
        <v>3</v>
      </c>
      <c r="F11" s="38">
        <f>+'POA 2018FINAL'!I26</f>
        <v>156567.82</v>
      </c>
      <c r="G11" s="190">
        <v>3</v>
      </c>
      <c r="H11" s="38">
        <f>+'POA 2018FINAL'!I33</f>
        <v>143000</v>
      </c>
      <c r="I11" s="190">
        <v>2</v>
      </c>
      <c r="J11" s="38">
        <f>+'POA 2018FINAL'!I37</f>
        <v>68100</v>
      </c>
      <c r="K11" s="190">
        <v>1</v>
      </c>
      <c r="L11" s="38">
        <f>+'POA 2018FINAL'!I42</f>
        <v>135900</v>
      </c>
      <c r="M11" s="190">
        <v>4</v>
      </c>
    </row>
    <row r="12" spans="1:13">
      <c r="A12" s="36" t="str">
        <f>+'POA 2018FINAL'!B44</f>
        <v>MANTENIMIENTO PERIODICO</v>
      </c>
      <c r="B12" s="38">
        <f>+('POA 2018FINAL'!I45-18000)/5</f>
        <v>16400</v>
      </c>
      <c r="C12" s="191"/>
      <c r="D12" s="38">
        <f>+('POA 2018FINAL'!I45-18000)/5</f>
        <v>16400</v>
      </c>
      <c r="E12" s="191"/>
      <c r="F12" s="38">
        <f>+('POA 2018FINAL'!I45-18000)/5</f>
        <v>16400</v>
      </c>
      <c r="G12" s="191"/>
      <c r="H12" s="38">
        <f>+('POA 2018FINAL'!I45-18000)/5</f>
        <v>16400</v>
      </c>
      <c r="I12" s="191"/>
      <c r="J12" s="38">
        <f>+('POA 2018FINAL'!I45-18000)/5</f>
        <v>16400</v>
      </c>
      <c r="K12" s="191"/>
      <c r="L12" s="38">
        <v>18000</v>
      </c>
      <c r="M12" s="191"/>
    </row>
    <row r="13" spans="1:13" ht="30">
      <c r="A13" s="37" t="str">
        <f>+'POA 2018FINAL'!B46</f>
        <v>MANTENIMIENTO DE TRATAMIENTO SUPERFICIAL BITUMINOSO</v>
      </c>
      <c r="B13" s="38"/>
      <c r="C13" s="44">
        <v>6</v>
      </c>
      <c r="D13" s="38"/>
      <c r="E13" s="43"/>
      <c r="F13" s="38" t="e">
        <f>+'POA 2018FINAL'!#REF!</f>
        <v>#REF!</v>
      </c>
      <c r="G13" s="45">
        <v>4</v>
      </c>
      <c r="H13" s="38"/>
      <c r="I13" s="45">
        <v>3</v>
      </c>
      <c r="J13" s="38"/>
      <c r="K13" s="45">
        <v>2</v>
      </c>
      <c r="L13" s="38"/>
      <c r="M13" s="42">
        <v>7</v>
      </c>
    </row>
    <row r="14" spans="1:13" ht="15.75">
      <c r="A14" s="36" t="str">
        <f>+'POA 2018FINAL'!B51</f>
        <v>MANTENIMIENTO DE PUENTES</v>
      </c>
      <c r="B14" s="38">
        <f>+'POA 2018FINAL'!I52/2</f>
        <v>40000</v>
      </c>
      <c r="C14" s="44">
        <v>5</v>
      </c>
      <c r="D14" s="38"/>
      <c r="E14" s="43"/>
      <c r="F14" s="38"/>
      <c r="G14" s="42"/>
      <c r="H14" s="38"/>
      <c r="I14" s="42"/>
      <c r="J14" s="38"/>
      <c r="K14" s="42"/>
      <c r="L14" s="38">
        <f>+'POA 2018FINAL'!I52/2</f>
        <v>40000</v>
      </c>
      <c r="M14" s="42">
        <v>6</v>
      </c>
    </row>
    <row r="15" spans="1:13" ht="30">
      <c r="A15" s="37" t="str">
        <f>+'POA 2018FINAL'!B54</f>
        <v>DOBLE TRATAMIENTO SUPERFICIAL BITUMINOSO</v>
      </c>
      <c r="B15" s="46" t="e">
        <f>+'POA 2018FINAL'!#REF!</f>
        <v>#REF!</v>
      </c>
      <c r="C15" s="44">
        <v>1</v>
      </c>
      <c r="D15" s="38"/>
      <c r="E15" s="44">
        <v>1</v>
      </c>
      <c r="F15" s="38"/>
      <c r="G15" s="45">
        <v>1</v>
      </c>
      <c r="H15" s="46" t="e">
        <f>+'POA 2018FINAL'!#REF!</f>
        <v>#REF!</v>
      </c>
      <c r="I15" s="45">
        <v>1</v>
      </c>
      <c r="J15" s="38"/>
      <c r="K15" s="45">
        <v>4</v>
      </c>
      <c r="L15" s="38"/>
      <c r="M15" s="42">
        <v>3</v>
      </c>
    </row>
    <row r="16" spans="1:13">
      <c r="A16" s="35" t="s">
        <v>95</v>
      </c>
      <c r="B16" s="39" t="e">
        <f>SUM(B6:B15)</f>
        <v>#REF!</v>
      </c>
      <c r="C16" s="39"/>
      <c r="D16" s="39" t="e">
        <f>SUM(D6:D15)</f>
        <v>#REF!</v>
      </c>
      <c r="E16" s="39"/>
      <c r="F16" s="39" t="e">
        <f>SUM(F6:F15)</f>
        <v>#REF!</v>
      </c>
      <c r="G16" s="39"/>
      <c r="H16" s="39" t="e">
        <f>SUM(H6:H15)</f>
        <v>#REF!</v>
      </c>
      <c r="I16" s="39"/>
      <c r="J16" s="39" t="e">
        <f>SUM(J6:J15)</f>
        <v>#REF!</v>
      </c>
      <c r="K16" s="39"/>
      <c r="L16" s="39" t="e">
        <f>SUM(L6:L15)</f>
        <v>#REF!</v>
      </c>
      <c r="M16" s="39"/>
    </row>
    <row r="17" spans="1:13">
      <c r="A17" s="35" t="s">
        <v>97</v>
      </c>
      <c r="B17" s="40">
        <v>565427.65</v>
      </c>
      <c r="C17" s="40"/>
      <c r="D17" s="40">
        <v>99447.07</v>
      </c>
      <c r="E17" s="40"/>
      <c r="F17" s="40">
        <v>321071.98</v>
      </c>
      <c r="G17" s="40"/>
      <c r="H17" s="40">
        <v>315389.28999999998</v>
      </c>
      <c r="I17" s="40"/>
      <c r="J17" s="40">
        <v>190370.11</v>
      </c>
      <c r="K17" s="40"/>
      <c r="L17" s="40">
        <v>201735.49</v>
      </c>
      <c r="M17" s="40"/>
    </row>
    <row r="18" spans="1:13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20" spans="1:13">
      <c r="A20" s="31" t="s">
        <v>95</v>
      </c>
      <c r="B20" s="30">
        <f>SUM(B22:B62)</f>
        <v>208539.39999999997</v>
      </c>
      <c r="C20" s="30"/>
      <c r="D20" s="30">
        <f t="shared" ref="D20:L20" si="0">SUM(D22:D62)</f>
        <v>645639</v>
      </c>
      <c r="E20" s="30"/>
      <c r="F20" s="29">
        <f t="shared" si="0"/>
        <v>81594.820000000007</v>
      </c>
      <c r="G20" s="29"/>
      <c r="H20" s="29">
        <f t="shared" si="0"/>
        <v>679736.39999999991</v>
      </c>
      <c r="I20" s="29"/>
      <c r="J20" s="29">
        <f t="shared" si="0"/>
        <v>289503</v>
      </c>
      <c r="K20" s="29"/>
      <c r="L20" s="29">
        <f t="shared" si="0"/>
        <v>0</v>
      </c>
      <c r="M20" s="29"/>
    </row>
    <row r="21" spans="1:13">
      <c r="A21" s="59" t="s">
        <v>99</v>
      </c>
      <c r="B21" s="52"/>
      <c r="D21" s="55"/>
      <c r="F21" s="28"/>
      <c r="G21" s="27"/>
      <c r="H21" s="28"/>
      <c r="I21" s="27"/>
      <c r="J21" s="27"/>
      <c r="K21" s="27"/>
      <c r="L21" s="27"/>
      <c r="M21" s="27"/>
    </row>
    <row r="22" spans="1:13" ht="30">
      <c r="A22" s="60" t="s">
        <v>53</v>
      </c>
      <c r="B22" s="53">
        <f>5000*6.5*1.4*1.8*1.14</f>
        <v>93365.999999999985</v>
      </c>
      <c r="D22" s="28"/>
      <c r="F22" s="28"/>
      <c r="G22" s="27"/>
      <c r="H22" s="28"/>
      <c r="I22" s="27"/>
      <c r="J22" s="27"/>
      <c r="K22" s="27"/>
      <c r="L22" s="27"/>
      <c r="M22" s="27"/>
    </row>
    <row r="23" spans="1:13">
      <c r="A23" s="61" t="s">
        <v>100</v>
      </c>
      <c r="B23" s="53">
        <f>18000*0.55*1.14</f>
        <v>11285.999999999998</v>
      </c>
      <c r="D23" s="28"/>
      <c r="F23" s="28"/>
      <c r="G23" s="27"/>
      <c r="H23" s="28"/>
      <c r="I23" s="27"/>
      <c r="J23" s="27"/>
      <c r="K23" s="27"/>
      <c r="L23" s="27"/>
      <c r="M23" s="27"/>
    </row>
    <row r="24" spans="1:13">
      <c r="A24" s="59" t="s">
        <v>101</v>
      </c>
      <c r="B24" s="53"/>
      <c r="D24" s="28"/>
      <c r="F24" s="28"/>
      <c r="G24" s="27"/>
      <c r="H24" s="28"/>
      <c r="I24" s="27"/>
      <c r="J24" s="27"/>
      <c r="K24" s="27"/>
      <c r="L24" s="27"/>
      <c r="M24" s="27"/>
    </row>
    <row r="25" spans="1:13">
      <c r="A25" s="61" t="s">
        <v>100</v>
      </c>
      <c r="B25" s="53">
        <f>6200*0.55*1.14</f>
        <v>3887.4</v>
      </c>
      <c r="D25" s="28"/>
      <c r="F25" s="28"/>
      <c r="G25" s="27"/>
      <c r="H25" s="28"/>
      <c r="I25" s="27"/>
      <c r="J25" s="27"/>
      <c r="K25" s="27"/>
      <c r="L25" s="27"/>
      <c r="M25" s="27"/>
    </row>
    <row r="26" spans="1:13">
      <c r="A26" s="59" t="s">
        <v>103</v>
      </c>
      <c r="B26" s="53"/>
      <c r="D26" s="28"/>
      <c r="F26" s="28"/>
      <c r="G26" s="27"/>
      <c r="H26" s="28"/>
      <c r="I26" s="27"/>
      <c r="J26" s="27"/>
      <c r="K26" s="27"/>
      <c r="L26" s="27"/>
      <c r="M26" s="27"/>
    </row>
    <row r="27" spans="1:13">
      <c r="A27" s="55" t="s">
        <v>102</v>
      </c>
      <c r="B27" s="53">
        <v>60000</v>
      </c>
      <c r="D27" s="28"/>
      <c r="F27" s="28"/>
      <c r="G27" s="27"/>
      <c r="H27" s="28"/>
      <c r="I27" s="27"/>
      <c r="J27" s="27"/>
      <c r="K27" s="27"/>
      <c r="L27" s="27"/>
      <c r="M27" s="27"/>
    </row>
    <row r="28" spans="1:13">
      <c r="A28" s="59" t="s">
        <v>114</v>
      </c>
      <c r="B28" s="53"/>
      <c r="D28" s="28"/>
      <c r="F28" s="28"/>
      <c r="G28" s="27"/>
      <c r="H28" s="28"/>
      <c r="I28" s="27"/>
      <c r="J28" s="27"/>
      <c r="K28" s="27"/>
      <c r="L28" s="27"/>
      <c r="M28" s="27"/>
    </row>
    <row r="29" spans="1:13" ht="30">
      <c r="A29" s="60" t="s">
        <v>115</v>
      </c>
      <c r="B29" s="54">
        <v>40000</v>
      </c>
      <c r="D29" s="28"/>
      <c r="F29" s="28"/>
      <c r="G29" s="27"/>
      <c r="H29" s="28"/>
      <c r="I29" s="27"/>
      <c r="J29" s="27"/>
      <c r="K29" s="27"/>
      <c r="L29" s="27"/>
      <c r="M29" s="27"/>
    </row>
    <row r="30" spans="1:13">
      <c r="A30" s="47" t="s">
        <v>104</v>
      </c>
      <c r="B30" s="27"/>
      <c r="D30" s="57"/>
      <c r="F30" s="28"/>
      <c r="G30" s="27"/>
      <c r="H30" s="28"/>
      <c r="I30" s="27"/>
      <c r="J30" s="27"/>
      <c r="K30" s="27"/>
      <c r="L30" s="27"/>
      <c r="M30" s="27"/>
    </row>
    <row r="31" spans="1:13">
      <c r="A31" s="49" t="s">
        <v>100</v>
      </c>
      <c r="D31" s="53">
        <f>4000*0.55*1.14</f>
        <v>2508</v>
      </c>
      <c r="F31" s="28"/>
      <c r="G31" s="27"/>
      <c r="H31" s="28"/>
      <c r="I31" s="27"/>
      <c r="J31" s="27"/>
      <c r="K31" s="27"/>
      <c r="L31" s="27"/>
      <c r="M31" s="27"/>
    </row>
    <row r="32" spans="1:13" ht="30">
      <c r="A32" s="62" t="s">
        <v>118</v>
      </c>
      <c r="D32" s="53"/>
      <c r="F32" s="28"/>
      <c r="G32" s="27"/>
      <c r="H32" s="28"/>
      <c r="I32" s="27"/>
      <c r="J32" s="27"/>
      <c r="K32" s="27"/>
      <c r="L32" s="27"/>
      <c r="M32" s="27"/>
    </row>
    <row r="33" spans="1:13" ht="30">
      <c r="A33" s="56" t="s">
        <v>59</v>
      </c>
      <c r="D33" s="53">
        <f>8500*6.5*1.8*1.8*1.14</f>
        <v>204071.4</v>
      </c>
      <c r="F33" s="28"/>
      <c r="G33" s="27"/>
      <c r="H33" s="28"/>
      <c r="I33" s="27"/>
      <c r="J33" s="27"/>
      <c r="K33" s="27"/>
      <c r="L33" s="27"/>
      <c r="M33" s="27"/>
    </row>
    <row r="34" spans="1:13">
      <c r="A34" s="49" t="s">
        <v>110</v>
      </c>
      <c r="D34" s="53">
        <f>11*2500*1.14</f>
        <v>31349.999999999996</v>
      </c>
      <c r="F34" s="28"/>
      <c r="G34" s="27"/>
      <c r="H34" s="28"/>
      <c r="I34" s="27"/>
      <c r="J34" s="27"/>
      <c r="K34" s="27"/>
      <c r="L34" s="27"/>
      <c r="M34" s="27"/>
    </row>
    <row r="35" spans="1:13">
      <c r="A35" s="49" t="s">
        <v>111</v>
      </c>
      <c r="D35" s="53">
        <f>8500*13*1.14</f>
        <v>125969.99999999999</v>
      </c>
      <c r="F35" s="28"/>
      <c r="G35" s="27"/>
      <c r="H35" s="28"/>
      <c r="I35" s="27"/>
      <c r="J35" s="27"/>
      <c r="K35" s="27"/>
      <c r="L35" s="27"/>
      <c r="M35" s="27"/>
    </row>
    <row r="36" spans="1:13">
      <c r="A36" s="49" t="s">
        <v>100</v>
      </c>
      <c r="D36" s="53">
        <f>8500*0.55*1.14</f>
        <v>5329.4999999999991</v>
      </c>
      <c r="F36" s="28"/>
      <c r="G36" s="27"/>
      <c r="H36" s="28"/>
      <c r="I36" s="27"/>
      <c r="J36" s="27"/>
      <c r="K36" s="27"/>
      <c r="L36" s="27"/>
      <c r="M36" s="27"/>
    </row>
    <row r="37" spans="1:13">
      <c r="A37" s="50" t="s">
        <v>117</v>
      </c>
      <c r="D37" s="53"/>
      <c r="F37" s="28"/>
      <c r="G37" s="27"/>
      <c r="H37" s="28"/>
      <c r="I37" s="27"/>
      <c r="J37" s="27"/>
      <c r="K37" s="27"/>
      <c r="L37" s="27"/>
      <c r="M37" s="27"/>
    </row>
    <row r="38" spans="1:13" ht="30">
      <c r="A38" s="56" t="s">
        <v>59</v>
      </c>
      <c r="D38" s="53">
        <f>6500*6.5*1.8*1.8*1.14</f>
        <v>156054.59999999998</v>
      </c>
      <c r="F38" s="28"/>
      <c r="G38" s="27"/>
      <c r="H38" s="28"/>
      <c r="I38" s="27"/>
      <c r="J38" s="27"/>
      <c r="K38" s="27"/>
      <c r="L38" s="27"/>
      <c r="M38" s="27"/>
    </row>
    <row r="39" spans="1:13">
      <c r="A39" s="49" t="s">
        <v>110</v>
      </c>
      <c r="D39" s="53">
        <f>7*2500*1.14</f>
        <v>19950</v>
      </c>
      <c r="F39" s="28"/>
      <c r="G39" s="27"/>
      <c r="H39" s="28"/>
      <c r="I39" s="27"/>
      <c r="J39" s="27"/>
      <c r="K39" s="27"/>
      <c r="L39" s="27"/>
      <c r="M39" s="27"/>
    </row>
    <row r="40" spans="1:13">
      <c r="A40" s="49" t="s">
        <v>111</v>
      </c>
      <c r="D40" s="53">
        <f>6500*13*1.14</f>
        <v>96329.999999999985</v>
      </c>
      <c r="F40" s="28"/>
      <c r="G40" s="27"/>
      <c r="H40" s="28"/>
      <c r="I40" s="27"/>
      <c r="J40" s="27"/>
      <c r="K40" s="27"/>
      <c r="L40" s="27"/>
      <c r="M40" s="27"/>
    </row>
    <row r="41" spans="1:13">
      <c r="A41" s="51" t="s">
        <v>100</v>
      </c>
      <c r="D41" s="63">
        <f>6500*0.55*1.14</f>
        <v>4075.5</v>
      </c>
      <c r="F41" s="28"/>
      <c r="G41" s="27"/>
      <c r="H41" s="28"/>
      <c r="I41" s="27"/>
      <c r="J41" s="27"/>
      <c r="K41" s="27"/>
      <c r="L41" s="27"/>
      <c r="M41" s="27"/>
    </row>
    <row r="42" spans="1:13">
      <c r="A42" s="50" t="s">
        <v>105</v>
      </c>
      <c r="F42" s="57"/>
      <c r="G42" s="27"/>
      <c r="H42" s="28"/>
      <c r="I42" s="27"/>
      <c r="J42" s="27"/>
      <c r="K42" s="27"/>
      <c r="L42" s="27"/>
      <c r="M42" s="27"/>
    </row>
    <row r="43" spans="1:13">
      <c r="A43" s="49" t="s">
        <v>100</v>
      </c>
      <c r="F43" s="53">
        <f>12000*0.55*1.14</f>
        <v>7524</v>
      </c>
      <c r="G43" s="27"/>
      <c r="H43" s="28"/>
      <c r="I43" s="27"/>
      <c r="J43" s="27"/>
      <c r="K43" s="27"/>
      <c r="L43" s="27"/>
      <c r="M43" s="27"/>
    </row>
    <row r="44" spans="1:13">
      <c r="A44" s="50" t="s">
        <v>106</v>
      </c>
      <c r="F44" s="53"/>
      <c r="G44" s="27"/>
      <c r="H44" s="28"/>
      <c r="I44" s="27"/>
      <c r="J44" s="27"/>
      <c r="K44" s="27"/>
      <c r="L44" s="27"/>
      <c r="M44" s="27"/>
    </row>
    <row r="45" spans="1:13">
      <c r="A45" s="49" t="s">
        <v>100</v>
      </c>
      <c r="F45" s="53">
        <f>8000*0.55*1.14</f>
        <v>5016</v>
      </c>
      <c r="G45" s="27"/>
      <c r="H45" s="28"/>
      <c r="I45" s="27"/>
      <c r="J45" s="27"/>
      <c r="K45" s="27"/>
      <c r="L45" s="27"/>
      <c r="M45" s="27"/>
    </row>
    <row r="46" spans="1:13" ht="30">
      <c r="A46" s="48" t="s">
        <v>116</v>
      </c>
      <c r="F46" s="53">
        <v>28000</v>
      </c>
      <c r="G46" s="27"/>
      <c r="H46" s="28"/>
      <c r="I46" s="27"/>
      <c r="J46" s="27"/>
      <c r="K46" s="27"/>
      <c r="L46" s="27"/>
      <c r="M46" s="27"/>
    </row>
    <row r="47" spans="1:13">
      <c r="A47" s="50" t="s">
        <v>107</v>
      </c>
      <c r="F47" s="53"/>
      <c r="G47" s="27"/>
      <c r="H47" s="28"/>
      <c r="I47" s="27"/>
      <c r="J47" s="27"/>
      <c r="K47" s="27"/>
      <c r="L47" s="27"/>
      <c r="M47" s="27"/>
    </row>
    <row r="48" spans="1:13">
      <c r="A48" s="49" t="s">
        <v>108</v>
      </c>
      <c r="F48" s="53">
        <f>4000*6.5*2.55*0.51*1.14</f>
        <v>38546.82</v>
      </c>
      <c r="G48" s="27"/>
      <c r="H48" s="28"/>
      <c r="I48" s="27"/>
      <c r="J48" s="27"/>
      <c r="K48" s="27"/>
      <c r="L48" s="27"/>
      <c r="M48" s="27"/>
    </row>
    <row r="49" spans="1:13">
      <c r="A49" s="49" t="s">
        <v>100</v>
      </c>
      <c r="F49" s="54">
        <f>4000*0.55*1.14</f>
        <v>2508</v>
      </c>
      <c r="G49" s="27"/>
      <c r="H49" s="28"/>
      <c r="I49" s="27"/>
      <c r="J49" s="27"/>
      <c r="K49" s="27"/>
      <c r="L49" s="27"/>
      <c r="M49" s="27"/>
    </row>
    <row r="50" spans="1:13">
      <c r="A50" s="47" t="s">
        <v>109</v>
      </c>
      <c r="F50" s="27"/>
      <c r="G50" s="27"/>
      <c r="H50" s="28"/>
      <c r="I50" s="27"/>
      <c r="J50" s="27"/>
      <c r="K50" s="27"/>
      <c r="L50" s="27"/>
      <c r="M50" s="27"/>
    </row>
    <row r="51" spans="1:13" ht="30">
      <c r="A51" s="56" t="s">
        <v>59</v>
      </c>
      <c r="F51" s="27"/>
      <c r="G51" s="27"/>
      <c r="H51" s="57">
        <f>10000*6.5*1.8*1.8*1.14</f>
        <v>240083.99999999997</v>
      </c>
      <c r="I51" s="27"/>
      <c r="J51" s="27"/>
      <c r="K51" s="27"/>
      <c r="L51" s="27"/>
      <c r="M51" s="27"/>
    </row>
    <row r="52" spans="1:13">
      <c r="A52" s="49" t="s">
        <v>110</v>
      </c>
      <c r="F52" s="27"/>
      <c r="G52" s="27"/>
      <c r="H52" s="53">
        <f>10*2500*1.14</f>
        <v>28499.999999999996</v>
      </c>
      <c r="I52" s="27"/>
      <c r="J52" s="27"/>
      <c r="K52" s="27"/>
      <c r="L52" s="27"/>
      <c r="M52" s="27"/>
    </row>
    <row r="53" spans="1:13">
      <c r="A53" s="49" t="s">
        <v>111</v>
      </c>
      <c r="H53" s="53">
        <f>10000*13*1.14</f>
        <v>148200</v>
      </c>
    </row>
    <row r="54" spans="1:13">
      <c r="A54" s="49" t="s">
        <v>100</v>
      </c>
      <c r="H54" s="53">
        <f>10000*0.55*1.14</f>
        <v>6269.9999999999991</v>
      </c>
    </row>
    <row r="55" spans="1:13">
      <c r="A55" s="50" t="s">
        <v>112</v>
      </c>
      <c r="H55" s="53"/>
    </row>
    <row r="56" spans="1:13" ht="30">
      <c r="A56" s="56" t="s">
        <v>59</v>
      </c>
      <c r="H56" s="53">
        <f>6000*6.5*1.8*1.8*1.14</f>
        <v>144050.4</v>
      </c>
    </row>
    <row r="57" spans="1:13">
      <c r="A57" s="49" t="s">
        <v>110</v>
      </c>
      <c r="H57" s="53">
        <f>7*2500*1.14</f>
        <v>19950</v>
      </c>
    </row>
    <row r="58" spans="1:13">
      <c r="A58" s="49" t="s">
        <v>111</v>
      </c>
      <c r="H58" s="53">
        <f>6000*13*1.14</f>
        <v>88919.999999999985</v>
      </c>
    </row>
    <row r="59" spans="1:13">
      <c r="A59" s="51" t="s">
        <v>100</v>
      </c>
      <c r="H59" s="54">
        <f>6000*0.55*1.14</f>
        <v>3762</v>
      </c>
    </row>
    <row r="60" spans="1:13">
      <c r="A60" s="58" t="s">
        <v>113</v>
      </c>
      <c r="H60" s="27"/>
      <c r="J60" s="52"/>
    </row>
    <row r="61" spans="1:13" ht="30">
      <c r="A61" s="48" t="s">
        <v>53</v>
      </c>
      <c r="H61" s="27"/>
      <c r="J61" s="53">
        <f>15000*6.5*1.4*1.8*1.14</f>
        <v>280098</v>
      </c>
    </row>
    <row r="62" spans="1:13">
      <c r="A62" s="51" t="s">
        <v>100</v>
      </c>
      <c r="H62" s="27"/>
      <c r="J62" s="53">
        <f>15000*0.55*1.14</f>
        <v>9405</v>
      </c>
    </row>
    <row r="63" spans="1:13">
      <c r="H63" s="27"/>
      <c r="J63" s="51"/>
    </row>
    <row r="64" spans="1:13">
      <c r="H64" s="27"/>
    </row>
    <row r="65" spans="8:8">
      <c r="H65" s="27"/>
    </row>
    <row r="66" spans="8:8">
      <c r="H66" s="27"/>
    </row>
    <row r="67" spans="8:8">
      <c r="H67" s="27"/>
    </row>
    <row r="68" spans="8:8">
      <c r="H68" s="27"/>
    </row>
    <row r="69" spans="8:8">
      <c r="H69" s="27"/>
    </row>
    <row r="70" spans="8:8">
      <c r="H70" s="27"/>
    </row>
  </sheetData>
  <mergeCells count="11">
    <mergeCell ref="G11:G12"/>
    <mergeCell ref="I11:I12"/>
    <mergeCell ref="K11:K12"/>
    <mergeCell ref="M11:M12"/>
    <mergeCell ref="A1:M1"/>
    <mergeCell ref="A2:M2"/>
    <mergeCell ref="A3:B3"/>
    <mergeCell ref="A4:A5"/>
    <mergeCell ref="B4:M4"/>
    <mergeCell ref="C11:C12"/>
    <mergeCell ref="E11:E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POA 2018INICIAL (2)</vt:lpstr>
      <vt:lpstr>POA 2018FINAL</vt:lpstr>
      <vt:lpstr>INVERSION POR CANTONES</vt:lpstr>
      <vt:lpstr>PRIORIZACION</vt:lpstr>
      <vt:lpstr>'POA 2018FINAL'!Área_de_impresión</vt:lpstr>
      <vt:lpstr>'POA 2018INICIAL (2)'!Área_de_impresión</vt:lpstr>
      <vt:lpstr>'POA 2018FINAL'!Títulos_a_imprimir</vt:lpstr>
      <vt:lpstr>'POA 2018INICIAL (2)'!Títulos_a_imprimir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jtulcanaz</dc:creator>
  <cp:lastModifiedBy>Luis</cp:lastModifiedBy>
  <cp:lastPrinted>2015-09-03T17:51:40Z</cp:lastPrinted>
  <dcterms:created xsi:type="dcterms:W3CDTF">2014-09-30T21:28:15Z</dcterms:created>
  <dcterms:modified xsi:type="dcterms:W3CDTF">2017-10-03T23:06:40Z</dcterms:modified>
</cp:coreProperties>
</file>